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350" firstSheet="7" activeTab="7"/>
  </bookViews>
  <sheets>
    <sheet name="Vrhunski" sheetId="1" state="hidden" r:id="rId1"/>
    <sheet name="Kvalitetni" sheetId="2" state="hidden" r:id="rId2"/>
    <sheet name="Sport osoba sa invaliditetom" sheetId="4" state="hidden" r:id="rId3"/>
    <sheet name="Sport za sve" sheetId="5" state="hidden" r:id="rId4"/>
    <sheet name="Sportske manifestacije" sheetId="6" state="hidden" r:id="rId5"/>
    <sheet name="Sportski objekti" sheetId="17" state="hidden" r:id="rId6"/>
    <sheet name="Procenti" sheetId="8" state="hidden" r:id="rId7"/>
    <sheet name="Lista odbijenih" sheetId="16" r:id="rId8"/>
  </sheets>
  <calcPr calcId="145621"/>
</workbook>
</file>

<file path=xl/calcChain.xml><?xml version="1.0" encoding="utf-8"?>
<calcChain xmlns="http://schemas.openxmlformats.org/spreadsheetml/2006/main">
  <c r="Q17" i="2" l="1"/>
  <c r="Q4" i="2"/>
  <c r="Q16" i="2"/>
  <c r="Q9" i="2"/>
  <c r="Q21" i="2"/>
  <c r="B17" i="8" l="1"/>
  <c r="N35" i="6"/>
  <c r="K16" i="5" l="1"/>
  <c r="E13" i="8"/>
  <c r="J40" i="5"/>
  <c r="I32" i="5"/>
  <c r="J6" i="17"/>
  <c r="I35" i="6"/>
  <c r="P21" i="4"/>
  <c r="O21" i="4"/>
  <c r="P7" i="4"/>
  <c r="N26" i="1"/>
  <c r="O6" i="1"/>
  <c r="Q5" i="1" l="1"/>
  <c r="B18" i="8"/>
  <c r="K35" i="6" l="1"/>
  <c r="K32" i="5"/>
  <c r="L40" i="5"/>
  <c r="P22" i="1"/>
  <c r="P25" i="1"/>
  <c r="Q4" i="1"/>
  <c r="P41" i="2"/>
  <c r="P42" i="2"/>
  <c r="P23" i="1"/>
  <c r="P21" i="1"/>
  <c r="P20" i="1"/>
  <c r="P49" i="2"/>
  <c r="P50" i="2" l="1"/>
  <c r="P26" i="1"/>
  <c r="I4" i="5"/>
  <c r="Q7" i="4"/>
  <c r="Q23" i="2"/>
  <c r="T23" i="2" s="1"/>
  <c r="Q6" i="1"/>
  <c r="I20" i="6"/>
  <c r="J20" i="6" s="1"/>
  <c r="I21" i="6"/>
  <c r="J21" i="6" s="1"/>
  <c r="I22" i="5" l="1"/>
  <c r="J22" i="5" s="1"/>
  <c r="I11" i="5"/>
  <c r="J11" i="5" s="1"/>
  <c r="I6" i="5"/>
  <c r="J6" i="5" s="1"/>
  <c r="I31" i="5" l="1"/>
  <c r="J31" i="5" s="1"/>
  <c r="F49" i="2" l="1"/>
  <c r="F22" i="2" l="1"/>
  <c r="F21" i="2"/>
  <c r="F5" i="1"/>
  <c r="O5" i="1" s="1"/>
  <c r="P5" i="1" s="1"/>
  <c r="F22" i="1"/>
  <c r="F21" i="1" l="1"/>
  <c r="F4" i="1"/>
  <c r="N35" i="2"/>
  <c r="O35" i="2" l="1"/>
  <c r="N20" i="4"/>
  <c r="O20" i="4" s="1"/>
  <c r="N37" i="2"/>
  <c r="O37" i="2" s="1"/>
  <c r="N38" i="2"/>
  <c r="O38" i="2" s="1"/>
  <c r="N39" i="2"/>
  <c r="O39" i="2" s="1"/>
  <c r="N40" i="2"/>
  <c r="O40" i="2" s="1"/>
  <c r="N41" i="2"/>
  <c r="O41" i="2" s="1"/>
  <c r="N42" i="2"/>
  <c r="O42" i="2" s="1"/>
  <c r="N43" i="2"/>
  <c r="O43" i="2" s="1"/>
  <c r="N44" i="2"/>
  <c r="O44" i="2" s="1"/>
  <c r="N45" i="2"/>
  <c r="O45" i="2" s="1"/>
  <c r="N46" i="2"/>
  <c r="O46" i="2" s="1"/>
  <c r="N47" i="2"/>
  <c r="O47" i="2" s="1"/>
  <c r="N48" i="2"/>
  <c r="O48" i="2" s="1"/>
  <c r="N49" i="2"/>
  <c r="O49" i="2" s="1"/>
  <c r="N36" i="2"/>
  <c r="O36" i="2" s="1"/>
  <c r="N20" i="1"/>
  <c r="O20" i="1" s="1"/>
  <c r="N21" i="1"/>
  <c r="O21" i="1" s="1"/>
  <c r="N22" i="1"/>
  <c r="O22" i="1" s="1"/>
  <c r="N23" i="1"/>
  <c r="O23" i="1" s="1"/>
  <c r="N24" i="1"/>
  <c r="O24" i="1" s="1"/>
  <c r="N25" i="1"/>
  <c r="O25" i="1" s="1"/>
  <c r="O50" i="2" l="1"/>
  <c r="N50" i="2"/>
  <c r="O26" i="1"/>
  <c r="I4" i="17"/>
  <c r="I5" i="17"/>
  <c r="I3" i="17"/>
  <c r="O4" i="1"/>
  <c r="P4" i="1" s="1"/>
  <c r="P6" i="1" s="1"/>
  <c r="I30" i="6"/>
  <c r="J30" i="6" s="1"/>
  <c r="I31" i="6"/>
  <c r="J31" i="6" s="1"/>
  <c r="I32" i="6"/>
  <c r="J32" i="6" s="1"/>
  <c r="I33" i="6"/>
  <c r="J33" i="6" s="1"/>
  <c r="I34" i="6"/>
  <c r="J34" i="6" s="1"/>
  <c r="J39" i="5"/>
  <c r="K39" i="5" s="1"/>
  <c r="I26" i="5"/>
  <c r="J26" i="5" s="1"/>
  <c r="I27" i="5"/>
  <c r="J27" i="5" s="1"/>
  <c r="I28" i="5"/>
  <c r="J28" i="5" s="1"/>
  <c r="I29" i="5"/>
  <c r="J29" i="5" s="1"/>
  <c r="O12" i="2"/>
  <c r="P12" i="2" s="1"/>
  <c r="O13" i="2"/>
  <c r="P13" i="2" s="1"/>
  <c r="O14" i="2"/>
  <c r="P14" i="2" s="1"/>
  <c r="O15" i="2"/>
  <c r="P15" i="2" s="1"/>
  <c r="O16" i="2"/>
  <c r="P16" i="2" s="1"/>
  <c r="O17" i="2"/>
  <c r="P17" i="2" s="1"/>
  <c r="O18" i="2"/>
  <c r="P18" i="2" s="1"/>
  <c r="O19" i="2"/>
  <c r="P19" i="2" s="1"/>
  <c r="O20" i="2"/>
  <c r="P20" i="2" s="1"/>
  <c r="O21" i="2"/>
  <c r="P21" i="2" s="1"/>
  <c r="E6" i="8" l="1"/>
  <c r="J37" i="5" l="1"/>
  <c r="K37" i="5" s="1"/>
  <c r="I17" i="6" l="1"/>
  <c r="J17" i="6" s="1"/>
  <c r="I21" i="5" l="1"/>
  <c r="J21" i="5" s="1"/>
  <c r="I20" i="5"/>
  <c r="J20" i="5" s="1"/>
  <c r="I19" i="5"/>
  <c r="J19" i="5" s="1"/>
  <c r="I16" i="5"/>
  <c r="J16" i="5" s="1"/>
  <c r="I10" i="5"/>
  <c r="J10" i="5" s="1"/>
  <c r="I9" i="5"/>
  <c r="J9" i="5" s="1"/>
  <c r="J36" i="5"/>
  <c r="K36" i="5" s="1"/>
  <c r="J38" i="5"/>
  <c r="K38" i="5" s="1"/>
  <c r="I5" i="5" l="1"/>
  <c r="J5" i="5" s="1"/>
  <c r="I7" i="5"/>
  <c r="J7" i="5" s="1"/>
  <c r="I8" i="5"/>
  <c r="J8" i="5" s="1"/>
  <c r="I12" i="5"/>
  <c r="J12" i="5" s="1"/>
  <c r="I13" i="5"/>
  <c r="J13" i="5" s="1"/>
  <c r="I14" i="5"/>
  <c r="J14" i="5" s="1"/>
  <c r="I15" i="5"/>
  <c r="J15" i="5" s="1"/>
  <c r="I17" i="5"/>
  <c r="J17" i="5" s="1"/>
  <c r="I18" i="5"/>
  <c r="J18" i="5" s="1"/>
  <c r="I23" i="5"/>
  <c r="J23" i="5" s="1"/>
  <c r="I24" i="5"/>
  <c r="J24" i="5" s="1"/>
  <c r="I25" i="5"/>
  <c r="J25" i="5" s="1"/>
  <c r="I30" i="5"/>
  <c r="J30" i="5" s="1"/>
  <c r="J4" i="5"/>
  <c r="J35" i="5"/>
  <c r="K35" i="5" s="1"/>
  <c r="K40" i="5" s="1"/>
  <c r="I29" i="6"/>
  <c r="J29" i="6" s="1"/>
  <c r="J32" i="5" l="1"/>
  <c r="I18" i="6"/>
  <c r="J18" i="6" s="1"/>
  <c r="I19" i="6"/>
  <c r="J19" i="6" s="1"/>
  <c r="I22" i="6"/>
  <c r="J22" i="6" s="1"/>
  <c r="I23" i="6"/>
  <c r="J23" i="6" s="1"/>
  <c r="I24" i="6"/>
  <c r="J24" i="6" s="1"/>
  <c r="I25" i="6"/>
  <c r="J25" i="6" s="1"/>
  <c r="I26" i="6"/>
  <c r="J26" i="6" s="1"/>
  <c r="I27" i="6"/>
  <c r="J27" i="6" s="1"/>
  <c r="I28" i="6"/>
  <c r="J28" i="6" s="1"/>
  <c r="I4" i="6"/>
  <c r="J4" i="6" s="1"/>
  <c r="I5" i="6"/>
  <c r="J5" i="6" s="1"/>
  <c r="I6" i="6"/>
  <c r="J6" i="6" s="1"/>
  <c r="I7" i="6"/>
  <c r="J7" i="6" s="1"/>
  <c r="I8" i="6"/>
  <c r="J8" i="6" s="1"/>
  <c r="I9" i="6"/>
  <c r="J9" i="6" s="1"/>
  <c r="I10" i="6"/>
  <c r="J10" i="6" s="1"/>
  <c r="I11" i="6"/>
  <c r="J11" i="6" s="1"/>
  <c r="I12" i="6"/>
  <c r="J12" i="6" s="1"/>
  <c r="I13" i="6"/>
  <c r="J13" i="6" s="1"/>
  <c r="I14" i="6"/>
  <c r="J14" i="6" s="1"/>
  <c r="I15" i="6"/>
  <c r="J15" i="6" s="1"/>
  <c r="I16" i="6"/>
  <c r="J16" i="6" s="1"/>
  <c r="I3" i="6"/>
  <c r="J3" i="6" s="1"/>
  <c r="O5" i="4"/>
  <c r="P5" i="4" s="1"/>
  <c r="O6" i="4"/>
  <c r="P6" i="4" s="1"/>
  <c r="O4" i="4"/>
  <c r="P4" i="4" s="1"/>
  <c r="J35" i="6" l="1"/>
  <c r="O4" i="2"/>
  <c r="O5" i="2"/>
  <c r="P5" i="2" s="1"/>
  <c r="O7" i="2"/>
  <c r="P7" i="2" s="1"/>
  <c r="O8" i="2"/>
  <c r="P8" i="2" s="1"/>
  <c r="O9" i="2"/>
  <c r="P9" i="2" s="1"/>
  <c r="O10" i="2"/>
  <c r="P10" i="2" s="1"/>
  <c r="O11" i="2"/>
  <c r="P11" i="2" s="1"/>
  <c r="O22" i="2"/>
  <c r="P22" i="2" s="1"/>
  <c r="P4" i="2" l="1"/>
  <c r="O6" i="2"/>
  <c r="P6" i="2" s="1"/>
  <c r="P23" i="2" l="1"/>
  <c r="O23" i="2"/>
  <c r="B6" i="8"/>
  <c r="B8" i="8" l="1"/>
  <c r="B15" i="8"/>
  <c r="B14" i="8"/>
  <c r="E12" i="8" l="1"/>
  <c r="B19" i="8"/>
  <c r="B21" i="8" s="1"/>
  <c r="E14" i="8"/>
  <c r="B10" i="8"/>
  <c r="E7" i="8" s="1"/>
  <c r="B9" i="8"/>
  <c r="B11" i="8" l="1"/>
  <c r="B12" i="8" s="1"/>
  <c r="B13" i="8" s="1"/>
  <c r="E10" i="8" s="1"/>
</calcChain>
</file>

<file path=xl/sharedStrings.xml><?xml version="1.0" encoding="utf-8"?>
<sst xmlns="http://schemas.openxmlformats.org/spreadsheetml/2006/main" count="586" uniqueCount="344">
  <si>
    <t>KOLEKTIVNI SPORTOVI</t>
  </si>
  <si>
    <t>NAZIV SPORTSKE ORGANIZACIJE</t>
  </si>
  <si>
    <t>a.Vrhunski sport</t>
  </si>
  <si>
    <t>b.Kvalitetni sport</t>
  </si>
  <si>
    <t>c.Rezultati protekle takmičarske sezone</t>
  </si>
  <si>
    <t>d.Broj reprezentativaca</t>
  </si>
  <si>
    <t>e.Broj selekcija (senori, juniori, kadeti, pioniri)</t>
  </si>
  <si>
    <t>f.Složenost sistema takmičenja</t>
  </si>
  <si>
    <t>g.Dužina trajanja sezone (Liga-turnirski sistem)</t>
  </si>
  <si>
    <t>h.Tradicija</t>
  </si>
  <si>
    <t>i.Masovnost</t>
  </si>
  <si>
    <t>j.Broj trenera sa odgovarajućom stručnom spremom</t>
  </si>
  <si>
    <t>k.Kvalitet programa - projekta</t>
  </si>
  <si>
    <t>RB</t>
  </si>
  <si>
    <t>ZBIR BODOVA</t>
  </si>
  <si>
    <t>POJEDINAČNI SPORTOVI</t>
  </si>
  <si>
    <t>NAZIV PROJEKTA</t>
  </si>
  <si>
    <t>SPORTSKA REKREACIJA</t>
  </si>
  <si>
    <t>A.Kvalitet programa - projekta</t>
  </si>
  <si>
    <t>b.Broj trenera sa odgovarajućom stručnom spremom</t>
  </si>
  <si>
    <t>c.Broj učesnika u realizaciji programa/projekta</t>
  </si>
  <si>
    <t>d.Uspostavljenost sistema trenažnog procesa</t>
  </si>
  <si>
    <t>SPORTSKI ODGOJ I OBRAZOVANJE</t>
  </si>
  <si>
    <t>d.Tradicija organizovanja projekta/programa</t>
  </si>
  <si>
    <t>e.Duzina trajanja programa/projekta/broj sati predvidjen za sportsku edukaciju</t>
  </si>
  <si>
    <t>f. Rezultati ostvareni u proteklom periodu realizacijom istih ili sličnih programa/projekta</t>
  </si>
  <si>
    <t>b.Status sportske manifestacije</t>
  </si>
  <si>
    <t>c.Broj država koje učestvuju(za međunarodnu manifestaciju)</t>
  </si>
  <si>
    <t>d.Broj takmičara</t>
  </si>
  <si>
    <t>e.Tradicija organizovanja sportske manifestacije</t>
  </si>
  <si>
    <t>SPORTSKE MANIFESTACIJE</t>
  </si>
  <si>
    <t>VRHUNSKI SPORT</t>
  </si>
  <si>
    <t>KVALITETNI SPORT</t>
  </si>
  <si>
    <t>SPORT LICA SA INVALIDITETOM</t>
  </si>
  <si>
    <t>ZDRAVSTVENA ZAŠTITA SPORTISTA</t>
  </si>
  <si>
    <t>a.Kvalitet programa - projekta</t>
  </si>
  <si>
    <t>UKUPAN IZNOS ZA JAVNE USTANOVE (najmanje, s tim da je moguće rasporediti manji ukupan iznos ukoliko ne bude dovoljan broj aplikanata)</t>
  </si>
  <si>
    <t>UKUPAN IZNOS SREDSTAVA ZA JAVNA PREDUZEĆA</t>
  </si>
  <si>
    <t>UKUPAN IZNOS SREDSTAVA PO JAVNOM POZIVU</t>
  </si>
  <si>
    <t>UKUPAN IZNOS ZA RASPODJELU KLUBOVIMA</t>
  </si>
  <si>
    <t>1.c. SUMA (1a+1b)</t>
  </si>
  <si>
    <t>2. Sport za lica sa invaliditetom                            do 15%</t>
  </si>
  <si>
    <t>1. Vrhunski i kvalitetni sport                                  do 55%</t>
  </si>
  <si>
    <t xml:space="preserve">3. Sport za sve, sportske manifestacije             do 30% </t>
  </si>
  <si>
    <t>Fudbalski klub "Budućnost" Banovići</t>
  </si>
  <si>
    <t>Omladinski ženski rukometni klub "Jedinstvo" Tuzla</t>
  </si>
  <si>
    <t>Rukometni klub "Konjuh" Živinice</t>
  </si>
  <si>
    <t>Odbojkaški klub "BOSNA" Kalesija</t>
  </si>
  <si>
    <t>Stonoteniski klub "SPIN" Doboj Istok</t>
  </si>
  <si>
    <t>Stonoteniski klub "Lukavac" Lukavac</t>
  </si>
  <si>
    <t>Razvoj i promocija stonog tenisa na području Tuzlanskog kantona</t>
  </si>
  <si>
    <t>Karate klub "Banovići" Banovići</t>
  </si>
  <si>
    <t>Karate klub "Pobjednik" Tuzla</t>
  </si>
  <si>
    <t>Kuglaški klub "Sloboda" Tuzla</t>
  </si>
  <si>
    <t>Bokserski klub "Sloboda" Tuzla</t>
  </si>
  <si>
    <t>Biciklistički klub "Zmaj od Bosne" Tuzla</t>
  </si>
  <si>
    <t>Karate savez Tuzlanskog kantona</t>
  </si>
  <si>
    <t>Nastupi na domaćim i međunarodnim takmičenjima</t>
  </si>
  <si>
    <t>PRIJEDLOG IZNOSA SREDSTAVA</t>
  </si>
  <si>
    <t>Eko-ronilačka grupa invalida Lukavac</t>
  </si>
  <si>
    <t>Karate klub "Student" Tuzla</t>
  </si>
  <si>
    <t>Rad sa djecom sa smetnjama u razvoju</t>
  </si>
  <si>
    <t>Sportski savez općine Srebrenik</t>
  </si>
  <si>
    <t>Nogometni klub "Mramor Babice" Lukavac</t>
  </si>
  <si>
    <t>Izbor sportiste grada Srebrenika</t>
  </si>
  <si>
    <t xml:space="preserve">b.Kvalitetni sport </t>
  </si>
  <si>
    <t xml:space="preserve">a.Vrhunski sport </t>
  </si>
  <si>
    <t>Skijaški klub "Kladanj" Kladanj</t>
  </si>
  <si>
    <t>Centar za ples i rekreaciju Tuzla</t>
  </si>
  <si>
    <t>Ski klub "Lukavac" Lukavac</t>
  </si>
  <si>
    <t>Škola sporta "Colibri" Živinice</t>
  </si>
  <si>
    <t>Sportom do zdravlja i sretnije budućnosti</t>
  </si>
  <si>
    <t>Razvoj i popularizacija stonog tenisa na području Tuzlanskog kantona</t>
  </si>
  <si>
    <t>NAPOMENA</t>
  </si>
  <si>
    <t>Komisija</t>
  </si>
  <si>
    <t>2. Kada Delić – Selimović – član, _____________________________</t>
  </si>
  <si>
    <t>RAZLOG NEISPUNJAVANJA USLOVA U POGLEDU KRITERIJA ZA VREDNOVANJE</t>
  </si>
  <si>
    <t>Za predloženi program/projekat nije dostavljen niti jedan dokaz na osnovu kojeg se može izvršiti bodovanje</t>
  </si>
  <si>
    <t>Nije dostavljen niti jedan dokaz za vrednovanje.</t>
  </si>
  <si>
    <t>SPORT ZA SVE</t>
  </si>
  <si>
    <t xml:space="preserve">VRHUNSKI SPORT </t>
  </si>
  <si>
    <t>VISINA SREDSTAVA PREMA VRIJEDNOSTI BODA</t>
  </si>
  <si>
    <t>NAPOMENA: Iznos sredstava dodijeljivao se prema vrijednosti boda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t>
  </si>
  <si>
    <t>NEISKORIŠTENI IZNOS SREDSTAVA (SPORT OSOBA SA INVALIDITETOM)</t>
  </si>
  <si>
    <t>TABELARNI PREGLED NAČINA RASPODJELE SREDSTAVA</t>
  </si>
  <si>
    <t>ZBIR I VRIJEDNOST BODOVA</t>
  </si>
  <si>
    <t>ukupno 1.+2.</t>
  </si>
  <si>
    <t xml:space="preserve">vrijednost boda za sport za sve i sportske manifestacije </t>
  </si>
  <si>
    <t>Rukometni klub "Gračanica" Gračanica</t>
  </si>
  <si>
    <t>Takmičenje u Premijer muškoj ligi, KUP-u BiH, omladinskoj rukometnoj ligi-grup sjever i EHF European CUP-u</t>
  </si>
  <si>
    <t>Udruženje građana karate klub "Doboj Istok" Doboj Istok</t>
  </si>
  <si>
    <t>"Vrhunski rezultat iz Doboj Istoka"</t>
  </si>
  <si>
    <t>Klub borilačkih sportova "Tuzla" Tuzla</t>
  </si>
  <si>
    <t>Nastupi na zvaničnim turnirima u okviru kluba i reprezentacije BiH</t>
  </si>
  <si>
    <t>Karate klub "DO" Tuzla</t>
  </si>
  <si>
    <t>Sudjelovanje sportaša na zvaničnim bodovnim, domaćim i međunarodnm takmičenjima</t>
  </si>
  <si>
    <t>Atletski klub "Doboj Istok" Doboj Istok</t>
  </si>
  <si>
    <t>Finansiranje takmičenja, trenažnog procesa i nabavka sportske opreme za  vrhunske i kvalitetne atletičare</t>
  </si>
  <si>
    <t>Klub borilačkih sprtova "ORKKA" Lukavac</t>
  </si>
  <si>
    <t>Takmičarski ciklus KBS "ORRKA" 2021</t>
  </si>
  <si>
    <t>Udruženje građana Sportsko - ribolovno društvo "Tuzla" Tuzla</t>
  </si>
  <si>
    <t>Takmičarska sezona 2021 - Pripreme i nastup u Premijer ligi BiH, pripreme i nastup za svjetsko prvenstvo 2021</t>
  </si>
  <si>
    <t>Atletski klub "Sloboda-Tehnograd" Tuzla</t>
  </si>
  <si>
    <t>Programske aktivnosti kluba u 2021 godini</t>
  </si>
  <si>
    <t>Udruženje građana sportskih ribolovaca "Hazna" Gradačac</t>
  </si>
  <si>
    <t>Pripreme i odlazak na svjetsko prvenstvo u sportskom ribolovu (lov šarana i amura) Ukrajina 2021.g.</t>
  </si>
  <si>
    <t>Takmičenje u PREMIJER ligi Bosne i Hercegovine i rad sa mlađim kategorijama</t>
  </si>
  <si>
    <t>Udruženje građana ženski odbojkaški klub "SMEČ" Lukavac</t>
  </si>
  <si>
    <t>"Takmičarske aktivnosti svih selekcija ŽOK "Smeč" Lukavac u 2021. godini"</t>
  </si>
  <si>
    <t>MNK "Bosna Kompred" Tuzla</t>
  </si>
  <si>
    <t>Takmičenje u Premijer Fustal ligi BiH u 2021</t>
  </si>
  <si>
    <t>Redovne godišnje aktivnosti Karate saveza Tuzlanskog kanton za takmičarsku 2021. godinu</t>
  </si>
  <si>
    <t>Malonogometni klub "Banovići" Banovići</t>
  </si>
  <si>
    <t>Takmičenje u prvoj Fustal ligi nogometnog saveza FBiH</t>
  </si>
  <si>
    <t>Omladinski košarkaški klub "Sloboda" Tuzla</t>
  </si>
  <si>
    <t>Prvenstvo Bosne i Hercegovine u košarci</t>
  </si>
  <si>
    <t>Takmičenje u rukometnoj u prvoj ligi Federacije za žene sezona 21/22-jesen</t>
  </si>
  <si>
    <t>Obojkaški klub "7-LUKAVAC" Lukavac</t>
  </si>
  <si>
    <t>Takmičenje seniorske ekipe u odbojci za muškarce u Super lige FBiH u proljetnom dijelu takmičarska sezone 2020/2021 i jesenjem dijelu 2021/2022</t>
  </si>
  <si>
    <t xml:space="preserve">Udruženje građana Ženski košarkaški klub "RMU - Banovići" Banovići </t>
  </si>
  <si>
    <t>Takmičenje u Prvenstvu BiH sezona 2021/2022, Takmičenje WABA LIGA sezona 2021/2022 - Međunarodno takmičenje</t>
  </si>
  <si>
    <t>Košarkaški klub "Jedinstvo Dženex" Tuzla</t>
  </si>
  <si>
    <t>Prvenstvo BiH za žene</t>
  </si>
  <si>
    <t>Udruženje građana malonogometni klub "Lukavac" Lukavac</t>
  </si>
  <si>
    <t>Program "Sufinansiranje takmičenja u prvoj ligi Federacije BiH u fustalu proljetni dio 2020/2021 i jesenji dio 2021/2022"</t>
  </si>
  <si>
    <t>Učešće NK "Brastvo" u takmičenju takmičarske 2021/2022 godine - Sufinansiranje uplate kotizacije</t>
  </si>
  <si>
    <t>Odbojkaški klub "Kula-Gradačac" Gradačac</t>
  </si>
  <si>
    <t>Takmičenje u Super ligi Federacije, 1 liga FBiH, kupu BiH i takmičenje u mlađim kategorijama (pioniri, kadeti i juniori)</t>
  </si>
  <si>
    <t>Odbojkaški klub "Sloboda" Tuzla</t>
  </si>
  <si>
    <t>Takmičarska sezona 2021/2022</t>
  </si>
  <si>
    <t>Takmičenje rukometnog kluba "Konjuh" Živinice u muškoj Premijer ligi BiH u jesenjem dijelu sezone 2021/2022</t>
  </si>
  <si>
    <t>Rukometni klub "Gradačac 1954" Gradačac</t>
  </si>
  <si>
    <t>Takmičenje u sezoni 2021/2022</t>
  </si>
  <si>
    <t>Udruženje građana odbojkški klub "Gradina-Herceg" Srebrenik</t>
  </si>
  <si>
    <t>Premijer liga BiH</t>
  </si>
  <si>
    <t>Ženski fudbalski klub "Fortuna" Živinice</t>
  </si>
  <si>
    <t>Takmičenja za proljetnu sezonu 2020/2021 i jesenju sezonu 2021/2022</t>
  </si>
  <si>
    <t>Rukometni klub "Sloboda Solana" Tuzla</t>
  </si>
  <si>
    <t>Takmičarske polusezone: proljeće 2020/2021 i jesen 2021/2022</t>
  </si>
  <si>
    <t>Malonogometni klub "Kaskada" Gračanica</t>
  </si>
  <si>
    <t>Premier fustal liga BiH-prva polusezona</t>
  </si>
  <si>
    <t>Pripreme i učešće ekipa i pojedinaca STK Spin u prvoj ligi FBiH, Kup-u BiH, državnim pojedinačnim i ekipnim prvenstvima i međunarodnim takmičenjima.</t>
  </si>
  <si>
    <t xml:space="preserve">Džudo klub "Kodokan" Lukavac </t>
  </si>
  <si>
    <t>Udruženje građana Karate klub "1.Mart" Srebrenik</t>
  </si>
  <si>
    <t>Program/projekat takmičenja u 2021. godini</t>
  </si>
  <si>
    <t xml:space="preserve">Udruženje građana Karate klub "GRAČANICA-GRAČANICA" </t>
  </si>
  <si>
    <t>"Pripreme i učešće reprezentativki na domaćim i međunarodnim takmičenjima"</t>
  </si>
  <si>
    <t>Klub borilačkih sportova "SEIKEN" Živinice</t>
  </si>
  <si>
    <t>"Nastupi na kantonalnim, federalnim, državnim i međunarodnim takmičenjima i turnirima"</t>
  </si>
  <si>
    <t>"Stvranje kvalitetnih sportista"</t>
  </si>
  <si>
    <t>Takmičenje u premijer ligi BiH u kuglanju</t>
  </si>
  <si>
    <t>Kuglaški klub "Zrinski Bistarac - Ljubače" Lukavac</t>
  </si>
  <si>
    <t>Uvećanje i podmlađivanje igračkog kadra u klubu</t>
  </si>
  <si>
    <t>Takmičenje u Federalnoj ligi Federacije BiH</t>
  </si>
  <si>
    <t xml:space="preserve">Streljački sportski klub "Konjuh" Živinice  </t>
  </si>
  <si>
    <t>Sportom kroz mladost</t>
  </si>
  <si>
    <t>Pripreme i učešće u KUP-u BiH u aplskom skijanju za dječije (Omladinske) uzrasne kategorije</t>
  </si>
  <si>
    <t>Pripreme i učešće sportista kluba na prvenstvu BiH</t>
  </si>
  <si>
    <t>Karate klub "Trener - Sensei" Turija Lukavac</t>
  </si>
  <si>
    <t>Godišnji plan aktivnosti</t>
  </si>
  <si>
    <t>Stonoteniski klub "Kreka" Tuzla</t>
  </si>
  <si>
    <t>Odbojkaški klub invalida "DRINA" Sapna</t>
  </si>
  <si>
    <t>Takmičenje u premijer ligi BiH u sjedećoj odbojci KUP-BiH u sjedećoj odbojci</t>
  </si>
  <si>
    <t>SKISO "Sinovi Bosne" Lukavac</t>
  </si>
  <si>
    <t>Takmičenje u Premijer ligi BiH u sjedećoj odbojci</t>
  </si>
  <si>
    <t>Odbojkaški klub invalida "Kalesija" Kalesija</t>
  </si>
  <si>
    <t>Prva liga BiH - takmičenje</t>
  </si>
  <si>
    <t>Streljački klub osoba sa invaliditetom Živinice</t>
  </si>
  <si>
    <t>Osiguranim sredstvima do vrhunskih rezultata</t>
  </si>
  <si>
    <t>Udruženje sportskih radnika Gradskog nogometnog saveza u Tuzli</t>
  </si>
  <si>
    <t>Malonogometna Liga Tuzlanskog kantona</t>
  </si>
  <si>
    <t>Ljetna mini liga šampiona</t>
  </si>
  <si>
    <t>Općinski nogometni savez Općine Banovići</t>
  </si>
  <si>
    <t>UG Nogometni klub "Rudar" Bukinje-Šićki Brod</t>
  </si>
  <si>
    <t>"Tjelesne aktivnosti na okupljanju što većeg broja djece i mladih, radi pravilnog raazvoja i unaprjeđenja njihovog zdravlja"</t>
  </si>
  <si>
    <t xml:space="preserve">UG "EKO-SPORT" Šićki Brod </t>
  </si>
  <si>
    <t>Stvaranje uslova za razvoj sportskih aktivnosti na jezeru "Kop" Šićki Brod</t>
  </si>
  <si>
    <t>Savez udruženja građana sportskih klubova Općine Banovići</t>
  </si>
  <si>
    <t>"Sportom protiv narkonomije"</t>
  </si>
  <si>
    <t>Klub borilačkih sportova "SALINES" Tuzla</t>
  </si>
  <si>
    <t>Škola karatea  KBS Salines</t>
  </si>
  <si>
    <t>Rukometni klub "Index" Doboj Istok</t>
  </si>
  <si>
    <t>"Besplatna ljetna škola rukometa, upoznaj rukomet"</t>
  </si>
  <si>
    <t>Regionalni košarkaški savez Tuzla</t>
  </si>
  <si>
    <t>"Liga mladih RKS Tuzla"</t>
  </si>
  <si>
    <t>Udruženje građana sportski bilijar klub "Biliy" Gračanica</t>
  </si>
  <si>
    <t>Mala škola bilijara za djecu</t>
  </si>
  <si>
    <t>Udruženje karate klub "Konjuh" Živinice</t>
  </si>
  <si>
    <t>"Karate - Sport za sve"</t>
  </si>
  <si>
    <t>Klub borilačkih sportova "ORKKA" Lukavac</t>
  </si>
  <si>
    <t>Trenažni i takmičarski ciklus škole karatea KBS "ORKKA" 2021</t>
  </si>
  <si>
    <t>Takmičenje u Prvenstvu - LIGA MLADIH Bosne i Hercegovine sezona 2021/2022, Takmičenje WABA LIGA-PIONIRKE 2007 godište i mlađe, sezona 2021/2022-MEĐUNARODNO TAKMIČENJE, Organizacija LJETNOG KAMPA na planini Bjelašnica (škola košarke i pionirke)</t>
  </si>
  <si>
    <t>Udruženje građana fudbalski klub "Mladost" Solina</t>
  </si>
  <si>
    <t>Rukometni klub "Lukavac" Lukavac</t>
  </si>
  <si>
    <t>Razvoj sportskih navika kod djece školskog uzrasta od 8 do 12 godina</t>
  </si>
  <si>
    <t>Nogometni klub "Svatovac" Poljice</t>
  </si>
  <si>
    <t>Nogomet u predškolskoj dobi</t>
  </si>
  <si>
    <t>Udruženje građana Planinarsko sportsko društvo "Poštar" iz Tuzle</t>
  </si>
  <si>
    <t>"Planinarskim aktivnostma obezbjediti zdrav život"</t>
  </si>
  <si>
    <t>Razvijajmo se kroz ples</t>
  </si>
  <si>
    <t>Udruženje za razvoj i promociju pozitivnih vrijednosti "KRAV MAGA" Tuzla</t>
  </si>
  <si>
    <t>Zdravi kamp (ishrana kod djece mlađeg školskog uzrasta, edukacija za roditelje i djecu)</t>
  </si>
  <si>
    <t xml:space="preserve"> Košarkaški klub "Gradačac" Gradačac</t>
  </si>
  <si>
    <t>Takmičenje u "Ligi mladih" TK uzrasnih kategorija (pioniri, kadeti, juniori)</t>
  </si>
  <si>
    <t>Udruženje građana "Klub ritmičke gimnastike Tuzla" Tuzla</t>
  </si>
  <si>
    <t>"Ritmička gimnastika za djevojčice predškolskog i školskog uzrasta"</t>
  </si>
  <si>
    <t>Udruženje škola sporta "DI - FIVE" Doboj Istok</t>
  </si>
  <si>
    <t>Pripreme i organizacija malonogometnog turnira "Osman Junuzović" Klokotnica</t>
  </si>
  <si>
    <t>Radničko sportsko društvo "Sloboda" Tuzla</t>
  </si>
  <si>
    <t>Besplatna škola sporta "Sloboda" sa ciljem razvoja psiho-motoričkih sposobnosti kod djece</t>
  </si>
  <si>
    <t>Kung fu Wu Shu klub "Tigar" Teočak</t>
  </si>
  <si>
    <t>Unapređenje kvaliteta života mladih kroz sportske aktivnosti</t>
  </si>
  <si>
    <t>Fudbalski klub "Bosna" Kalesija</t>
  </si>
  <si>
    <t>Učešće kadeta i juniora FK BOSNA KALESIJA u Omladinskoj ligi FS BiH</t>
  </si>
  <si>
    <t>Sportski savez grada Tuzla</t>
  </si>
  <si>
    <t>Gradska školska prvenstva osnovnih i srednjih škola u odbojci i atletici za djevojčice i dječake</t>
  </si>
  <si>
    <t>Udruženje građana "Gimnastički klub Tuzla" Tuzla</t>
  </si>
  <si>
    <t>Razvoj vrhunske gimnastike u malim zemljama Europe</t>
  </si>
  <si>
    <t>Sufinansiranje trenažnog procesa i takmičarske sezone</t>
  </si>
  <si>
    <t>Školsko sportsko društvo Općine Banovići</t>
  </si>
  <si>
    <t>"Liga osnovnih škola u odbojci, košarci, atletici, nogometu i šahu"</t>
  </si>
  <si>
    <t>Udruženje građana Omladinski Šahovski klub "Akademija Šampiona" Doboj Istok</t>
  </si>
  <si>
    <t>Ekipno školsko takmičenje u šahu za 2021. godinu Doboj Istok</t>
  </si>
  <si>
    <t>Društvo pedagoga tjelesnog i zdrastvenog odgoja TK</t>
  </si>
  <si>
    <t>"Edukacija pedagoga tjelesnog i zdrastvenog odgoja, trenera i sportskih radika"</t>
  </si>
  <si>
    <t>Hrvački klub "Sloboda" Tuzla</t>
  </si>
  <si>
    <t>Uključivanje djece školskog uzrasta u sportske aktivnosti u cilju zdarvog razvoja</t>
  </si>
  <si>
    <t>Šahovski klub "Gračanica" Gračanica</t>
  </si>
  <si>
    <t>Mala škola šaha</t>
  </si>
  <si>
    <t>Naučimo skijati - Svi na snijeg</t>
  </si>
  <si>
    <t>Međunarodni Kup u podvodnoj fotografiji Lukavac 2021</t>
  </si>
  <si>
    <t>UG "Jošak Piskavica" Gračanica</t>
  </si>
  <si>
    <t>Tradicionalni Međunarodni Malonogometni turnir Piskavica 2021 "Šehidi i poginuli borci"</t>
  </si>
  <si>
    <t>Sportski savez gluhih i nagluhih Tuzlanskog kantona</t>
  </si>
  <si>
    <t>Sportska manifestacija gluhih pod nazivom "Sportom protiv Covid-19", Živinice 25.11.2021.-27.11.2021. godine</t>
  </si>
  <si>
    <t>Osmo otvoreno prvenstvo grada Tuzle u Futsalu</t>
  </si>
  <si>
    <t>Organizacija međunarodnog karate turnira "6 BiH Valentinovo 2021"</t>
  </si>
  <si>
    <t>XXIII TK-a Open (Otvoreno prvenstvo Tuzlanskog kantona u karateu); VII Memorijalni turnir Fuad Hdžiavdić Fudo, Tuzla 27.2.2021.</t>
  </si>
  <si>
    <t>Streljački klub "CENTAR" Gradačac</t>
  </si>
  <si>
    <t>Turnir u streljaštvu "SPORT ZA SVE"</t>
  </si>
  <si>
    <t>26. Tradicionalni memorijalni turnir u sjedećoj odbojci "Memorijal Edin Ibraković 2021"</t>
  </si>
  <si>
    <t>Džudo klub "Lukavac" Lukavac</t>
  </si>
  <si>
    <t>Državno prvenstvo u džudou za seniore, seniorke, poletarce i poletarke</t>
  </si>
  <si>
    <t>Rukometni savez u Tuzlanskom katonu</t>
  </si>
  <si>
    <t>Pripremni turnir i pripreme seniorske ženske rukometne reprezentacije BiH</t>
  </si>
  <si>
    <t>Savez sjedeće odbojke Ratnih vojnih invalida i invalidnih lica Tuzlanskog kantona</t>
  </si>
  <si>
    <t>KUP takmičenje Saveza sedeće odbojke za završnicu KUP-a BiH</t>
  </si>
  <si>
    <t>Fudbalski klub "DSK" Devetak Lukavac</t>
  </si>
  <si>
    <t>28. Memorijalni turnir "Braća Babić" Devetak</t>
  </si>
  <si>
    <t>Škola nogometa-Nogometni klub "POLET" Džakule Gračanica</t>
  </si>
  <si>
    <t>Međunarodni Malonogometni turnir Džakule SENIORI, Dječiji turnir Stopama Besima Šerbedžića</t>
  </si>
  <si>
    <t>Klub Borilačkih Vještina "Flek Tom Cat" Živinice</t>
  </si>
  <si>
    <t>Državno prvenstvo Bosne i Hercegovine K1 style &amp; light contact</t>
  </si>
  <si>
    <t xml:space="preserve"> Nogometni / Fudbalski savez općine Srebrenik</t>
  </si>
  <si>
    <t>Omladinska nogometna liga KUP NSO-e "Srebrenik 2021"</t>
  </si>
  <si>
    <t>5. Karate KUP "Tuzlanski pobjednik 2021"</t>
  </si>
  <si>
    <t>Ljubilej 70. godina postojanja kuglaškog kluba Sloboda Tuzla</t>
  </si>
  <si>
    <t>Tenis klub "Sloboda" Tuzla</t>
  </si>
  <si>
    <t>Memorijalni teniski turnir "Goran Tanović"</t>
  </si>
  <si>
    <t>Udruženje nogometnih instrora i sudija u opštini Lukavac - Lukavac</t>
  </si>
  <si>
    <t>"KUP nogometnih sudaca 2021"</t>
  </si>
  <si>
    <t>Odaberi nogomet Babice 2021</t>
  </si>
  <si>
    <t>Državno prvenstvo za mlađe kadete i mlađe kadetkinje</t>
  </si>
  <si>
    <t>"Fustal Cup Lukavac 2021"</t>
  </si>
  <si>
    <t>Klub Borilačkih sportova "Seiken" Živinice</t>
  </si>
  <si>
    <t>"Organizacija karatea turnira federalni nivo"</t>
  </si>
  <si>
    <t>Udruženje za sport i kulturu "BOLJE SUTRA" Tuzla</t>
  </si>
  <si>
    <t>Malonogometni noćni turnir PASCI CUP</t>
  </si>
  <si>
    <t>Međunarodi turnir "MamacTubertin kup"</t>
  </si>
  <si>
    <t>Udruženje građana fudbalski klub "Bukovik" Srebrenik</t>
  </si>
  <si>
    <t>Memorijalni turnir "11 ljiljanja"</t>
  </si>
  <si>
    <t>Košarkaški klub "Lions" Tuzla</t>
  </si>
  <si>
    <t>"Tradicionalni novogodišnji susret mlaih 2021"</t>
  </si>
  <si>
    <t>XXI - Karate UP Lukavac "Lukavac 2021"</t>
  </si>
  <si>
    <t>II Međunarodni turnir BiH pod nazivom. "02. Oktobar, dan Grada Tuzla"</t>
  </si>
  <si>
    <t>Međunarodni turnir u Ženskom fudbalu</t>
  </si>
  <si>
    <t>Unaprjeđenje sportskog ambijenta kroz organizaciju takmičenja</t>
  </si>
  <si>
    <t>Final 4 KUP-a Bosne i Hercegovine za muškarce</t>
  </si>
  <si>
    <t>JP SKPC "Mejdan" d.o.o Tuzla</t>
  </si>
  <si>
    <t>Pružanje usluga trenažnog procesa za korisnike JP SKPC "MEJDAN" d.o.o. Tuzla</t>
  </si>
  <si>
    <t>JU "Sportsko-kulturni centar" Banovići</t>
  </si>
  <si>
    <t>Obrazovanje i razvoj infrastrukture JU "SKC" Banovići Program/Projekt za trenažni proces</t>
  </si>
  <si>
    <t>SPORTSKI OBJEKTI</t>
  </si>
  <si>
    <t>TUZLA, 16.08.2021.</t>
  </si>
  <si>
    <t>1. Elvir Bijedić - predsjednik, __________________________________</t>
  </si>
  <si>
    <t>3. Fikret Selman - član,____________________________________</t>
  </si>
  <si>
    <t xml:space="preserve">4. Alija Hasić - član,______________________________________ </t>
  </si>
  <si>
    <t>5. Elmir Grabčanović - član, __________________________________</t>
  </si>
  <si>
    <t>6. Vladimir Ivanek, član, ________________________________________</t>
  </si>
  <si>
    <t>7. Adnan Karić- član, __________________________________</t>
  </si>
  <si>
    <t>6. Vladimir Ivanek, član, ____________________________________</t>
  </si>
  <si>
    <t>vrijednost boda za sport lica sa invaliditetom za 75.750,00 KM</t>
  </si>
  <si>
    <t>Nogometni klub "Bratstvo" Gračanica</t>
  </si>
  <si>
    <t>1068</t>
  </si>
  <si>
    <t>e.Masovnost (pioniri-kadeti)</t>
  </si>
  <si>
    <t>Radničke sportske igre Tuzla</t>
  </si>
  <si>
    <t>7.Memorijalni turnir Srđan Aleksić</t>
  </si>
  <si>
    <t>vrijednost boda za pojedinacni sport 97.212,50 KM</t>
  </si>
  <si>
    <t>192</t>
  </si>
  <si>
    <t>vrijednost boda za eventualne razlike (27.775,00)</t>
  </si>
  <si>
    <t>JU "Gradski stadion Tušanj" Tuzla</t>
  </si>
  <si>
    <t>Pružanje usluga objekta na ime trenažnog procesa</t>
  </si>
  <si>
    <t>328</t>
  </si>
  <si>
    <t>NEISKORIŠTENI IZNOS OBJEKTI</t>
  </si>
  <si>
    <t>NEISKORIŠTENI IZNOS SREDSTAVA (SPORT ZA SVE I SPORTSKE MANIFESTACIJE)</t>
  </si>
  <si>
    <t>vrijednost boda za kolektivni sport  152.762,50 KM+27.775,00 KM</t>
  </si>
  <si>
    <t>1.VRHUNSKI POJEDINAČNI SPORT (ZBIR BODOVA)</t>
  </si>
  <si>
    <t>2.KVALITETNI POJEDINAČNI SPORT (ZBIR BODOVA)</t>
  </si>
  <si>
    <t>3. VRHUNSKI I KVALITETNI KOLEKTIVNI SPORT (ZBIR BODOVA) (156+912)</t>
  </si>
  <si>
    <t>4. SPORT LICA SA INVALIDITETOM (ZBIR BODOVA) (156+36)</t>
  </si>
  <si>
    <t>1.b. pojedinačni                           min 35%</t>
  </si>
  <si>
    <t xml:space="preserve">1.a. kolektivni                               min  55%                                                            </t>
  </si>
  <si>
    <t>RAZLIKA (1-1c) 10%</t>
  </si>
  <si>
    <t>1.a.+ RAZLIKA (152.762.50+27.775.00) raspored za kolektivni sport</t>
  </si>
  <si>
    <t>VRIJEDNOST BODA</t>
  </si>
  <si>
    <t>536</t>
  </si>
  <si>
    <t>Potvrda koja je dostavljena kao dokaz za vrednovanje od Federalnog saveza, a nadležan savez prema programu je Atletski savez BiH.</t>
  </si>
  <si>
    <t>VRIJEDNOST BODA 169.0426</t>
  </si>
  <si>
    <t xml:space="preserve">VRIJEDNOST BODA   112.5145               </t>
  </si>
  <si>
    <t>VRIJEDNOST BODA 394.53</t>
  </si>
  <si>
    <t xml:space="preserve">VRIJEDNOST BODA 112.5145 </t>
  </si>
  <si>
    <t xml:space="preserve">VRIJEDNOST BODA      </t>
  </si>
  <si>
    <t>Projekat se ne odnosi na "Sport za sve". Radi se o udruženju koje je apliciralo za infrastrukturni projekat.</t>
  </si>
  <si>
    <t>TABELARNI PREGLED APLIKANATA KOJI NE ISPUNJAVAJU USLOVE U POGLEDU KRITERIJA ZA VREDNOVANJE PO JAVNOM POZIVU ZA SUFINANSIRANJE PROGRAMA/PROJEKATA SPORTSKIH ORGANIZACIJA U OBLASTI TJELESNE KULTURE I SPORTA ZA 2021. GODINU</t>
  </si>
  <si>
    <t>Sredstva se ne mogu dodijeliti jer Karate savez Tuzlanskog kantona nije nadležan za reprezentativne selekcije. Takođe za druge namjene za koje je aplicirano karate klubovi dobivaju sredstva kroz svoje projekte, te bi se u tom slučaju duplala namjena dodjele sredstava.</t>
  </si>
  <si>
    <t>TUZLA, 24.08.2021.</t>
  </si>
  <si>
    <t xml:space="preserve">VRIJEDNOST BODA       </t>
  </si>
  <si>
    <t>5. SPORT ZA SVE I SPORTSKE MANIFESTACIJE (ZBIR BODOVA) (323+59+565)</t>
  </si>
  <si>
    <t>UKUPNO NERASPOREĐENO PO JAVNOM POZIVU</t>
  </si>
  <si>
    <t>UKUPNO UTROŠENO PO JAVNOM POZIVU (188371+97213+34430+49916+7450+71300+45000)</t>
  </si>
  <si>
    <t>NAPOMENA: Komisija je 7834 KM od "Sporta za sve" podijelila za 7 prvorangiranih klubova iz Kolektivnih sportova</t>
  </si>
  <si>
    <t>Sredstva za ovaj projekat su dodijeljena iz Budžeta TK u 2021. godini, a prema članu 5. stav (1) tačka f) Odluke o utvrđivanju uslova, kriterija i postupka za raspodjelu sredstava sa potrošačke jedinice 32010002 - Tjelesna kultura i sport za 2021 godinu uslov za dodjelu sredstava je da za predloženi program/projekat sportske organizacije nisu dobile sredstva sa drugih budžetskih pozicija Budžeta TK u 2021. godini.</t>
  </si>
  <si>
    <t>Klub nije registrovan kao klub lica sa invaliditetom. Dostavljeni dokazi za vrednovanje od saveza koji nije savez lica sa invaliditetom. Potvrda Paraolimpijskog komiteta naslovljena na Karate savez BiH, a ne na Karate klub Student koji je aplicirao.</t>
  </si>
  <si>
    <t xml:space="preserve">NAPOMENA: Iznos sredstava dodijeljivao se prema vrijednosti boda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 Za 7 prvorangiranih klubova iz kolektivnih sportova Komisija je raspodijelila ukupno 7.834.00 KM, a što je ostatak neraspoređenih sredstava za "Sport za sve i Sportske manifestacije" </t>
  </si>
  <si>
    <t>NAPOMENA: Iznos sredstava dodijeljivao se prema vrijednosti boda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 Za 7 prvorangiranih klubova iz pojedinačnih sportova Komisija je raspodijelila neraspoređeni iznos od  pojedinačnih sportova, jer je određeni broj klubova tražio manji iznos sredstava od iznosa koji bi dobili prema vrijednosti boda.</t>
  </si>
  <si>
    <t>NAPOMENA: Iznos sredstava dodijeljivao se prema vrijednosti boda i prema propisanim iznosima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t>
  </si>
  <si>
    <t>"Svi u sport" amaterska takmičenja u malom nogometu 2021.</t>
  </si>
  <si>
    <t>1. Elvir Bijedić - predsjednik, _______________________________________</t>
  </si>
  <si>
    <t>2. Kada Delić – Selimović – član, ____________________________________</t>
  </si>
  <si>
    <t>3. Fikret Selman - član,____________________________________________</t>
  </si>
  <si>
    <t xml:space="preserve">4. Alija Hasić - član,______________________________________________ </t>
  </si>
  <si>
    <t>5. Elmir Grabčanović - član, ________________________________________</t>
  </si>
  <si>
    <t>6. Vladimir Ivanek, član, ___________________________________________</t>
  </si>
  <si>
    <t>7. Adnan Karić- član, 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</si>
</sst>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0" x14ac:knownFonts="1">
    <font>
      <sz val="11"/>
      <color theme="1"/>
      <name val="Calibri"/>
      <family val="2"/>
      <scheme val="minor"/>
    </font>
    <font>
      <b/>
      <sz val="11"/>
      <color theme="1"/>
      <name val="Calibri"/>
      <family val="2"/>
      <scheme val="minor"/>
    </font>
    <font>
      <sz val="8"/>
      <color theme="1"/>
      <name val="Times New Roman"/>
      <family val="1"/>
      <charset val="238"/>
    </font>
    <font>
      <sz val="8"/>
      <color theme="1"/>
      <name val="Times New Roman"/>
      <family val="1"/>
    </font>
    <font>
      <b/>
      <sz val="8"/>
      <color theme="1"/>
      <name val="Times New Roman"/>
      <family val="1"/>
    </font>
    <font>
      <sz val="8"/>
      <name val="Times New Roman"/>
      <family val="1"/>
      <charset val="238"/>
    </font>
    <font>
      <b/>
      <sz val="8"/>
      <color theme="1"/>
      <name val="Times New Roman"/>
      <family val="1"/>
      <charset val="238"/>
    </font>
    <font>
      <b/>
      <sz val="11"/>
      <color theme="1"/>
      <name val="Calibri"/>
      <family val="2"/>
      <charset val="238"/>
      <scheme val="minor"/>
    </font>
    <font>
      <sz val="10"/>
      <color theme="1"/>
      <name val="Times New Roman"/>
      <family val="1"/>
    </font>
    <font>
      <b/>
      <sz val="9"/>
      <color theme="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130">
    <xf numFmtId="0" fontId="0" fillId="0" borderId="0" xfId="0"/>
    <xf numFmtId="0" fontId="0" fillId="0" borderId="1" xfId="0" applyBorder="1"/>
    <xf numFmtId="0" fontId="1" fillId="0" borderId="0" xfId="0" applyFont="1"/>
    <xf numFmtId="4" fontId="0" fillId="0" borderId="0" xfId="0" applyNumberFormat="1"/>
    <xf numFmtId="4" fontId="1" fillId="0" borderId="0" xfId="0" applyNumberFormat="1" applyFont="1"/>
    <xf numFmtId="0" fontId="3" fillId="0" borderId="1" xfId="0" applyFont="1" applyBorder="1" applyAlignment="1">
      <alignment wrapText="1"/>
    </xf>
    <xf numFmtId="0" fontId="3" fillId="0" borderId="0" xfId="0" applyFont="1"/>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applyAlignment="1">
      <alignment horizontal="center" textRotation="90" wrapText="1"/>
    </xf>
    <xf numFmtId="0" fontId="4" fillId="0" borderId="1" xfId="0" applyFont="1" applyBorder="1" applyAlignment="1">
      <alignment horizontal="center" textRotation="90"/>
    </xf>
    <xf numFmtId="0" fontId="4" fillId="0" borderId="0" xfId="0" applyFont="1"/>
    <xf numFmtId="0" fontId="3" fillId="0" borderId="1" xfId="0" applyFont="1" applyBorder="1"/>
    <xf numFmtId="0" fontId="3" fillId="0" borderId="0" xfId="0" applyFont="1" applyBorder="1"/>
    <xf numFmtId="0" fontId="3" fillId="0" borderId="0" xfId="0" applyFont="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xf>
    <xf numFmtId="0" fontId="4" fillId="0" borderId="1" xfId="0" applyFont="1" applyBorder="1"/>
    <xf numFmtId="0" fontId="3" fillId="0" borderId="0" xfId="0" applyFont="1" applyFill="1"/>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4" fillId="0" borderId="1" xfId="0" applyFont="1" applyFill="1" applyBorder="1" applyAlignment="1">
      <alignment horizontal="center" textRotation="90" wrapText="1"/>
    </xf>
    <xf numFmtId="0" fontId="4" fillId="0" borderId="1" xfId="0" applyFont="1" applyFill="1" applyBorder="1" applyAlignment="1">
      <alignment horizontal="center" textRotation="90"/>
    </xf>
    <xf numFmtId="0" fontId="4" fillId="0" borderId="1" xfId="0" applyFont="1" applyFill="1" applyBorder="1"/>
    <xf numFmtId="0" fontId="4" fillId="0" borderId="0" xfId="0" applyFont="1" applyFill="1"/>
    <xf numFmtId="0" fontId="3" fillId="0" borderId="1" xfId="0" applyFont="1" applyFill="1" applyBorder="1" applyAlignment="1">
      <alignment wrapText="1"/>
    </xf>
    <xf numFmtId="0" fontId="3" fillId="0" borderId="1" xfId="0" applyFont="1" applyFill="1" applyBorder="1"/>
    <xf numFmtId="0" fontId="3" fillId="0" borderId="0" xfId="0" applyFont="1" applyFill="1" applyBorder="1"/>
    <xf numFmtId="0" fontId="4" fillId="0" borderId="0" xfId="0" applyFont="1" applyFill="1" applyAlignment="1">
      <alignment horizontal="center"/>
    </xf>
    <xf numFmtId="0" fontId="4" fillId="0" borderId="0" xfId="0" applyFont="1" applyFill="1" applyBorder="1"/>
    <xf numFmtId="0" fontId="6" fillId="0" borderId="1" xfId="0" applyFont="1" applyBorder="1" applyAlignment="1">
      <alignment horizontal="center" textRotation="90"/>
    </xf>
    <xf numFmtId="0" fontId="6" fillId="0" borderId="1" xfId="0" applyFont="1" applyBorder="1"/>
    <xf numFmtId="0" fontId="6" fillId="0" borderId="0" xfId="0" applyFont="1" applyBorder="1"/>
    <xf numFmtId="0" fontId="6" fillId="0" borderId="0" xfId="0" applyFont="1"/>
    <xf numFmtId="0" fontId="2" fillId="0" borderId="0" xfId="0" applyFont="1"/>
    <xf numFmtId="0" fontId="1" fillId="0" borderId="1" xfId="0" applyFont="1" applyBorder="1" applyAlignment="1">
      <alignment wrapText="1"/>
    </xf>
    <xf numFmtId="4" fontId="1" fillId="0" borderId="1" xfId="0" applyNumberFormat="1" applyFont="1" applyBorder="1"/>
    <xf numFmtId="4" fontId="0" fillId="0" borderId="1" xfId="0" applyNumberFormat="1" applyBorder="1"/>
    <xf numFmtId="0" fontId="1" fillId="0" borderId="1" xfId="0" applyFont="1" applyBorder="1" applyAlignment="1">
      <alignment horizontal="left" wrapText="1"/>
    </xf>
    <xf numFmtId="0" fontId="1" fillId="0" borderId="1" xfId="0" applyFont="1" applyBorder="1"/>
    <xf numFmtId="0" fontId="4" fillId="0" borderId="0" xfId="0" applyFont="1" applyFill="1" applyBorder="1" applyAlignment="1">
      <alignment horizontal="center"/>
    </xf>
    <xf numFmtId="0" fontId="4" fillId="0" borderId="1" xfId="0" applyFont="1" applyFill="1" applyBorder="1" applyAlignment="1">
      <alignment horizontal="center" vertical="center"/>
    </xf>
    <xf numFmtId="0" fontId="4" fillId="0" borderId="0" xfId="0" applyFont="1" applyBorder="1"/>
    <xf numFmtId="4" fontId="7" fillId="0" borderId="0" xfId="0" applyNumberFormat="1" applyFont="1"/>
    <xf numFmtId="4" fontId="3" fillId="0" borderId="0" xfId="0" applyNumberFormat="1" applyFont="1"/>
    <xf numFmtId="4" fontId="4" fillId="0" borderId="1" xfId="0" applyNumberFormat="1" applyFont="1" applyBorder="1" applyAlignment="1">
      <alignment horizontal="center" textRotation="90" wrapText="1"/>
    </xf>
    <xf numFmtId="4" fontId="4" fillId="0" borderId="1" xfId="0" applyNumberFormat="1" applyFont="1" applyBorder="1"/>
    <xf numFmtId="4" fontId="3" fillId="0" borderId="1" xfId="0" applyNumberFormat="1" applyFont="1" applyFill="1" applyBorder="1"/>
    <xf numFmtId="4" fontId="3" fillId="0" borderId="1" xfId="0" applyNumberFormat="1" applyFont="1" applyBorder="1"/>
    <xf numFmtId="4" fontId="4" fillId="0" borderId="0" xfId="0" applyNumberFormat="1" applyFont="1" applyBorder="1"/>
    <xf numFmtId="0" fontId="3" fillId="0" borderId="1" xfId="0" applyFont="1" applyBorder="1" applyAlignment="1">
      <alignment horizontal="center"/>
    </xf>
    <xf numFmtId="0" fontId="4" fillId="0" borderId="0"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0" xfId="0" applyFont="1" applyFill="1" applyBorder="1" applyAlignment="1">
      <alignment horizontal="center"/>
    </xf>
    <xf numFmtId="0" fontId="0" fillId="0" borderId="1" xfId="0" applyBorder="1" applyAlignment="1">
      <alignment wrapText="1"/>
    </xf>
    <xf numFmtId="4" fontId="3" fillId="0" borderId="0" xfId="0" applyNumberFormat="1" applyFont="1" applyBorder="1"/>
    <xf numFmtId="4" fontId="3" fillId="0" borderId="0" xfId="0" applyNumberFormat="1" applyFont="1" applyFill="1"/>
    <xf numFmtId="4" fontId="3" fillId="0" borderId="0" xfId="0" applyNumberFormat="1" applyFont="1" applyFill="1" applyBorder="1"/>
    <xf numFmtId="4" fontId="4" fillId="0" borderId="1" xfId="0" applyNumberFormat="1" applyFont="1" applyBorder="1" applyAlignment="1">
      <alignment horizontal="center" textRotation="90"/>
    </xf>
    <xf numFmtId="49" fontId="4" fillId="0" borderId="1" xfId="0" applyNumberFormat="1" applyFont="1" applyBorder="1" applyAlignment="1">
      <alignment horizontal="center"/>
    </xf>
    <xf numFmtId="4" fontId="3" fillId="0" borderId="1" xfId="0" applyNumberFormat="1" applyFont="1" applyBorder="1" applyAlignment="1">
      <alignment wrapText="1"/>
    </xf>
    <xf numFmtId="0" fontId="4" fillId="0" borderId="0" xfId="0" applyFont="1" applyBorder="1" applyAlignment="1">
      <alignment horizontal="center"/>
    </xf>
    <xf numFmtId="0" fontId="4" fillId="0" borderId="0" xfId="0" applyFont="1" applyAlignment="1">
      <alignment horizontal="center"/>
    </xf>
    <xf numFmtId="0" fontId="1" fillId="0" borderId="0" xfId="0" applyFont="1" applyAlignment="1">
      <alignment horizontal="left" wrapText="1"/>
    </xf>
    <xf numFmtId="49" fontId="0" fillId="0" borderId="1" xfId="0" applyNumberFormat="1" applyBorder="1"/>
    <xf numFmtId="0" fontId="4" fillId="0" borderId="0" xfId="0" applyFont="1" applyBorder="1" applyAlignment="1">
      <alignment horizontal="center"/>
    </xf>
    <xf numFmtId="0" fontId="8" fillId="0" borderId="0" xfId="0" applyFont="1" applyBorder="1" applyAlignment="1">
      <alignment horizontal="left" vertical="center" wrapText="1"/>
    </xf>
    <xf numFmtId="49" fontId="8" fillId="0" borderId="0" xfId="0" applyNumberFormat="1" applyFont="1" applyBorder="1" applyAlignment="1">
      <alignment horizontal="lef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3" fillId="0" borderId="1" xfId="0" applyFont="1" applyBorder="1" applyAlignme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7" xfId="0" applyFont="1" applyBorder="1" applyAlignment="1">
      <alignment vertical="center" wrapText="1"/>
    </xf>
    <xf numFmtId="4" fontId="4" fillId="0" borderId="0" xfId="0" applyNumberFormat="1" applyFont="1" applyFill="1" applyBorder="1"/>
    <xf numFmtId="0" fontId="4" fillId="0" borderId="1" xfId="0" applyFont="1" applyBorder="1" applyAlignment="1">
      <alignment horizontal="center"/>
    </xf>
    <xf numFmtId="0" fontId="4" fillId="0" borderId="1" xfId="0" applyFont="1" applyBorder="1" applyAlignment="1">
      <alignment horizontal="center"/>
    </xf>
    <xf numFmtId="4" fontId="4" fillId="0" borderId="0" xfId="0" applyNumberFormat="1" applyFont="1" applyFill="1"/>
    <xf numFmtId="49" fontId="0" fillId="0" borderId="0" xfId="0" applyNumberFormat="1"/>
    <xf numFmtId="4" fontId="0" fillId="0" borderId="0" xfId="0" applyNumberFormat="1" applyAlignment="1">
      <alignment horizontal="right"/>
    </xf>
    <xf numFmtId="164" fontId="1" fillId="0" borderId="1" xfId="0" applyNumberFormat="1" applyFont="1" applyBorder="1" applyAlignment="1">
      <alignment horizontal="right"/>
    </xf>
    <xf numFmtId="164" fontId="1" fillId="0" borderId="1" xfId="0" applyNumberFormat="1" applyFont="1" applyBorder="1"/>
    <xf numFmtId="4" fontId="6" fillId="0" borderId="0" xfId="0" applyNumberFormat="1" applyFont="1" applyBorder="1"/>
    <xf numFmtId="4" fontId="4" fillId="0" borderId="0" xfId="0" applyNumberFormat="1" applyFont="1"/>
    <xf numFmtId="0" fontId="1" fillId="0" borderId="0" xfId="0" applyFont="1" applyAlignment="1">
      <alignment wrapText="1"/>
    </xf>
    <xf numFmtId="1" fontId="4" fillId="0" borderId="0" xfId="0" applyNumberFormat="1" applyFont="1" applyAlignment="1">
      <alignment horizontal="center"/>
    </xf>
    <xf numFmtId="3" fontId="0" fillId="0" borderId="1" xfId="0" applyNumberFormat="1" applyBorder="1"/>
    <xf numFmtId="4" fontId="9" fillId="0" borderId="0" xfId="0" applyNumberFormat="1" applyFont="1" applyAlignment="1">
      <alignment wrapText="1"/>
    </xf>
    <xf numFmtId="0" fontId="4" fillId="0" borderId="0" xfId="0" applyFont="1" applyBorder="1" applyAlignment="1">
      <alignment horizontal="left"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4" fontId="3" fillId="0" borderId="3" xfId="0" applyNumberFormat="1"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wrapText="1"/>
    </xf>
    <xf numFmtId="0" fontId="4" fillId="0" borderId="0" xfId="0" applyFont="1" applyBorder="1" applyAlignment="1">
      <alignment horizont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4" fillId="0" borderId="4" xfId="0" applyFont="1" applyBorder="1" applyAlignment="1">
      <alignment horizontal="center"/>
    </xf>
    <xf numFmtId="0" fontId="4" fillId="0" borderId="6" xfId="0" applyFont="1" applyBorder="1" applyAlignment="1">
      <alignment horizontal="center"/>
    </xf>
    <xf numFmtId="0" fontId="4" fillId="0" borderId="0" xfId="0" applyFont="1" applyFill="1" applyBorder="1" applyAlignment="1">
      <alignment horizontal="center"/>
    </xf>
    <xf numFmtId="0" fontId="4" fillId="0" borderId="0" xfId="0" applyFont="1" applyFill="1" applyAlignment="1">
      <alignment horizontal="center" vertical="center"/>
    </xf>
    <xf numFmtId="0" fontId="4" fillId="0" borderId="3"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0" fontId="3" fillId="0" borderId="0" xfId="0" applyFont="1" applyAlignment="1">
      <alignment horizont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textRotation="90" wrapText="1"/>
    </xf>
    <xf numFmtId="0" fontId="4" fillId="0" borderId="5" xfId="0" applyFont="1" applyBorder="1" applyAlignment="1">
      <alignment horizontal="center" textRotation="90" wrapText="1"/>
    </xf>
    <xf numFmtId="0" fontId="4" fillId="0" borderId="6" xfId="0" applyFont="1" applyBorder="1" applyAlignment="1">
      <alignment horizontal="center" textRotation="90"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4" fillId="0" borderId="3" xfId="0" applyFont="1" applyFill="1" applyBorder="1" applyAlignment="1">
      <alignment horizontal="center"/>
    </xf>
    <xf numFmtId="0" fontId="0" fillId="0" borderId="1" xfId="0" applyBorder="1" applyAlignment="1">
      <alignment horizontal="center" wrapText="1"/>
    </xf>
    <xf numFmtId="0" fontId="1" fillId="0" borderId="0" xfId="0" applyFont="1" applyAlignment="1">
      <alignment horizontal="center"/>
    </xf>
    <xf numFmtId="0" fontId="4" fillId="0" borderId="0" xfId="0" applyFont="1" applyFill="1" applyAlignment="1">
      <alignment horizontal="center" wrapText="1"/>
    </xf>
    <xf numFmtId="0" fontId="4" fillId="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workbookViewId="0">
      <selection activeCell="J5" sqref="J5"/>
    </sheetView>
  </sheetViews>
  <sheetFormatPr defaultRowHeight="11.25" x14ac:dyDescent="0.2"/>
  <cols>
    <col min="1" max="1" width="3.85546875" style="17" customWidth="1"/>
    <col min="2" max="2" width="18.28515625" style="6" customWidth="1"/>
    <col min="3" max="3" width="21.28515625" style="6" customWidth="1"/>
    <col min="4" max="4" width="5.28515625" style="6" customWidth="1"/>
    <col min="5" max="5" width="4.7109375" style="6" customWidth="1"/>
    <col min="6" max="6" width="5.28515625" style="6" customWidth="1"/>
    <col min="7" max="7" width="4.140625" style="6" customWidth="1"/>
    <col min="8" max="8" width="5.5703125" style="6" customWidth="1"/>
    <col min="9" max="9" width="4.85546875" style="6" customWidth="1"/>
    <col min="10" max="10" width="5.85546875" style="6" customWidth="1"/>
    <col min="11" max="11" width="4.7109375" style="6" customWidth="1"/>
    <col min="12" max="12" width="4.28515625" style="6" customWidth="1"/>
    <col min="13" max="13" width="6.5703125" style="6" customWidth="1"/>
    <col min="14" max="14" width="5.42578125" style="6" customWidth="1"/>
    <col min="15" max="15" width="8.28515625" style="34" customWidth="1"/>
    <col min="16" max="17" width="8.5703125" style="45" customWidth="1"/>
    <col min="18" max="18" width="17" style="6" customWidth="1"/>
    <col min="19" max="16384" width="9.140625" style="6"/>
  </cols>
  <sheetData>
    <row r="1" spans="1:18" x14ac:dyDescent="0.2">
      <c r="A1" s="103" t="s">
        <v>31</v>
      </c>
      <c r="B1" s="103"/>
      <c r="C1" s="103"/>
      <c r="D1" s="103"/>
      <c r="E1" s="103"/>
      <c r="F1" s="103"/>
      <c r="G1" s="103"/>
      <c r="H1" s="103"/>
      <c r="I1" s="103"/>
      <c r="J1" s="103"/>
      <c r="K1" s="103"/>
      <c r="L1" s="103"/>
      <c r="M1" s="103"/>
      <c r="N1" s="103"/>
      <c r="O1" s="103"/>
    </row>
    <row r="2" spans="1:18" ht="10.5" customHeight="1" x14ac:dyDescent="0.2">
      <c r="A2" s="104" t="s">
        <v>0</v>
      </c>
      <c r="B2" s="104"/>
      <c r="C2" s="104"/>
      <c r="D2" s="104"/>
      <c r="E2" s="104"/>
      <c r="F2" s="104"/>
      <c r="G2" s="104"/>
      <c r="H2" s="104"/>
      <c r="I2" s="104"/>
      <c r="J2" s="104"/>
      <c r="K2" s="104"/>
      <c r="L2" s="104"/>
      <c r="M2" s="104"/>
      <c r="N2" s="104"/>
      <c r="O2" s="104"/>
      <c r="P2" s="102" t="s">
        <v>314</v>
      </c>
      <c r="Q2" s="102"/>
      <c r="R2" s="6">
        <v>169.04259999999999</v>
      </c>
    </row>
    <row r="3" spans="1:18" s="11" customFormat="1" ht="96.75" customHeight="1" x14ac:dyDescent="0.15">
      <c r="A3" s="7" t="s">
        <v>13</v>
      </c>
      <c r="B3" s="8" t="s">
        <v>1</v>
      </c>
      <c r="C3" s="8" t="s">
        <v>16</v>
      </c>
      <c r="D3" s="9" t="s">
        <v>66</v>
      </c>
      <c r="E3" s="10" t="s">
        <v>65</v>
      </c>
      <c r="F3" s="9" t="s">
        <v>4</v>
      </c>
      <c r="G3" s="9" t="s">
        <v>5</v>
      </c>
      <c r="H3" s="9" t="s">
        <v>6</v>
      </c>
      <c r="I3" s="9" t="s">
        <v>7</v>
      </c>
      <c r="J3" s="9" t="s">
        <v>8</v>
      </c>
      <c r="K3" s="9" t="s">
        <v>9</v>
      </c>
      <c r="L3" s="9" t="s">
        <v>10</v>
      </c>
      <c r="M3" s="9" t="s">
        <v>11</v>
      </c>
      <c r="N3" s="9" t="s">
        <v>12</v>
      </c>
      <c r="O3" s="31" t="s">
        <v>14</v>
      </c>
      <c r="P3" s="46" t="s">
        <v>81</v>
      </c>
      <c r="Q3" s="46" t="s">
        <v>58</v>
      </c>
      <c r="R3" s="18" t="s">
        <v>73</v>
      </c>
    </row>
    <row r="4" spans="1:18" ht="50.25" customHeight="1" x14ac:dyDescent="0.2">
      <c r="A4" s="15">
        <v>1</v>
      </c>
      <c r="B4" s="54" t="s">
        <v>88</v>
      </c>
      <c r="C4" s="72" t="s">
        <v>89</v>
      </c>
      <c r="D4" s="12">
        <v>8</v>
      </c>
      <c r="E4" s="12">
        <v>10</v>
      </c>
      <c r="F4" s="12">
        <f>5+9+4</f>
        <v>18</v>
      </c>
      <c r="G4" s="12">
        <v>5</v>
      </c>
      <c r="H4" s="12">
        <v>0</v>
      </c>
      <c r="I4" s="12">
        <v>8</v>
      </c>
      <c r="J4" s="12">
        <v>10</v>
      </c>
      <c r="K4" s="12">
        <v>1</v>
      </c>
      <c r="L4" s="12">
        <v>1</v>
      </c>
      <c r="M4" s="12">
        <v>0</v>
      </c>
      <c r="N4" s="12">
        <v>10</v>
      </c>
      <c r="O4" s="32">
        <f>D4+E4+F4+G4+H4+I4+J4+K4+L4+M4+N4</f>
        <v>71</v>
      </c>
      <c r="P4" s="49">
        <f>R2*O4</f>
        <v>12002.024599999999</v>
      </c>
      <c r="Q4" s="47">
        <f>12002+1100</f>
        <v>13102</v>
      </c>
      <c r="R4" s="100"/>
    </row>
    <row r="5" spans="1:18" ht="56.25" x14ac:dyDescent="0.2">
      <c r="A5" s="15">
        <v>2</v>
      </c>
      <c r="B5" s="70" t="s">
        <v>119</v>
      </c>
      <c r="C5" s="70" t="s">
        <v>120</v>
      </c>
      <c r="D5" s="12">
        <v>8</v>
      </c>
      <c r="E5" s="12">
        <v>10</v>
      </c>
      <c r="F5" s="12">
        <f>6+8</f>
        <v>14</v>
      </c>
      <c r="G5" s="12">
        <v>10</v>
      </c>
      <c r="H5" s="12">
        <v>10</v>
      </c>
      <c r="I5" s="12">
        <v>5</v>
      </c>
      <c r="J5" s="12">
        <v>10</v>
      </c>
      <c r="K5" s="12">
        <v>0</v>
      </c>
      <c r="L5" s="12">
        <v>8</v>
      </c>
      <c r="M5" s="12">
        <v>0</v>
      </c>
      <c r="N5" s="12">
        <v>10</v>
      </c>
      <c r="O5" s="32">
        <f>D5+E5+F5+G5+H5+I5+J5+K5+L5+M5+N5</f>
        <v>85</v>
      </c>
      <c r="P5" s="49">
        <f>O5*R2</f>
        <v>14368.620999999999</v>
      </c>
      <c r="Q5" s="47">
        <f>14368+1100</f>
        <v>15468</v>
      </c>
      <c r="R5" s="101"/>
    </row>
    <row r="6" spans="1:18" ht="12.75" x14ac:dyDescent="0.2">
      <c r="A6" s="52"/>
      <c r="B6" s="68"/>
      <c r="C6" s="69"/>
      <c r="D6" s="13"/>
      <c r="E6" s="13"/>
      <c r="F6" s="13"/>
      <c r="G6" s="13"/>
      <c r="H6" s="13"/>
      <c r="I6" s="13"/>
      <c r="J6" s="13"/>
      <c r="K6" s="13"/>
      <c r="L6" s="13"/>
      <c r="M6" s="13"/>
      <c r="N6" s="13"/>
      <c r="O6" s="33">
        <f>SUM(O4:O5)</f>
        <v>156</v>
      </c>
      <c r="P6" s="57">
        <f>SUM(P4:P5)</f>
        <v>26370.645599999996</v>
      </c>
      <c r="Q6" s="50">
        <f>SUM(Q4:Q5)</f>
        <v>28570</v>
      </c>
      <c r="R6" s="13"/>
    </row>
    <row r="7" spans="1:18" ht="6" customHeight="1" x14ac:dyDescent="0.2">
      <c r="A7" s="52"/>
      <c r="B7" s="99" t="s">
        <v>333</v>
      </c>
      <c r="C7" s="99"/>
      <c r="D7" s="99"/>
      <c r="E7" s="99"/>
      <c r="F7" s="99"/>
      <c r="G7" s="13"/>
      <c r="H7" s="13"/>
      <c r="I7" s="13"/>
      <c r="J7" s="13"/>
      <c r="K7" s="13"/>
      <c r="L7" s="13"/>
      <c r="M7" s="13"/>
      <c r="N7" s="13"/>
      <c r="O7" s="33"/>
      <c r="P7" s="57"/>
      <c r="Q7" s="57"/>
      <c r="R7" s="13"/>
    </row>
    <row r="8" spans="1:18" ht="25.5" customHeight="1" x14ac:dyDescent="0.2">
      <c r="A8" s="52"/>
      <c r="B8" s="99"/>
      <c r="C8" s="99"/>
      <c r="D8" s="99"/>
      <c r="E8" s="99"/>
      <c r="F8" s="99"/>
      <c r="G8" s="13"/>
      <c r="H8" s="13"/>
      <c r="I8" s="13"/>
      <c r="J8" s="13"/>
      <c r="K8" s="13"/>
      <c r="L8" s="13"/>
      <c r="M8" s="35" t="s">
        <v>74</v>
      </c>
    </row>
    <row r="9" spans="1:18" ht="19.5" customHeight="1" x14ac:dyDescent="0.2">
      <c r="A9" s="52"/>
      <c r="B9" s="99"/>
      <c r="C9" s="99"/>
      <c r="D9" s="99"/>
      <c r="E9" s="99"/>
      <c r="F9" s="99"/>
      <c r="G9" s="13"/>
      <c r="H9" s="13"/>
      <c r="I9" s="13"/>
      <c r="J9" s="13"/>
      <c r="K9" s="13"/>
      <c r="L9" s="13"/>
      <c r="M9" s="35" t="s">
        <v>284</v>
      </c>
    </row>
    <row r="10" spans="1:18" ht="15.75" customHeight="1" x14ac:dyDescent="0.2">
      <c r="A10" s="52"/>
      <c r="B10" s="99"/>
      <c r="C10" s="99"/>
      <c r="D10" s="99"/>
      <c r="E10" s="99"/>
      <c r="F10" s="99"/>
      <c r="G10" s="13"/>
      <c r="H10" s="13"/>
      <c r="I10" s="13"/>
      <c r="J10" s="13"/>
      <c r="K10" s="13"/>
      <c r="L10" s="13"/>
      <c r="M10" s="35" t="s">
        <v>75</v>
      </c>
    </row>
    <row r="11" spans="1:18" ht="18.75" customHeight="1" x14ac:dyDescent="0.2">
      <c r="A11" s="52"/>
      <c r="B11" s="99"/>
      <c r="C11" s="99"/>
      <c r="D11" s="99"/>
      <c r="E11" s="99"/>
      <c r="F11" s="99"/>
      <c r="G11" s="13"/>
      <c r="H11" s="13"/>
      <c r="I11" s="13"/>
      <c r="J11" s="13"/>
      <c r="K11" s="13"/>
      <c r="L11" s="13"/>
      <c r="M11" s="35" t="s">
        <v>285</v>
      </c>
    </row>
    <row r="12" spans="1:18" ht="15.75" customHeight="1" x14ac:dyDescent="0.2">
      <c r="A12" s="52"/>
      <c r="B12" s="68"/>
      <c r="C12" s="69"/>
      <c r="D12" s="13"/>
      <c r="E12" s="13"/>
      <c r="F12" s="13"/>
      <c r="G12" s="13"/>
      <c r="H12" s="13"/>
      <c r="I12" s="13"/>
      <c r="J12" s="13"/>
      <c r="K12" s="13"/>
      <c r="L12" s="13"/>
      <c r="M12" s="35" t="s">
        <v>286</v>
      </c>
    </row>
    <row r="13" spans="1:18" ht="15.75" customHeight="1" x14ac:dyDescent="0.2">
      <c r="A13" s="52"/>
      <c r="B13" s="25" t="s">
        <v>325</v>
      </c>
      <c r="C13" s="69"/>
      <c r="D13" s="13"/>
      <c r="E13" s="13"/>
      <c r="F13" s="13"/>
      <c r="G13" s="13"/>
      <c r="H13" s="13"/>
      <c r="I13" s="13"/>
      <c r="J13" s="13"/>
      <c r="K13" s="13"/>
      <c r="L13" s="13"/>
      <c r="M13" s="35" t="s">
        <v>287</v>
      </c>
    </row>
    <row r="14" spans="1:18" ht="15.75" customHeight="1" x14ac:dyDescent="0.2">
      <c r="A14" s="52"/>
      <c r="B14" s="68"/>
      <c r="C14" s="69"/>
      <c r="D14" s="13"/>
      <c r="E14" s="13"/>
      <c r="F14" s="13"/>
      <c r="G14" s="13"/>
      <c r="H14" s="13"/>
      <c r="I14" s="13"/>
      <c r="J14" s="13"/>
      <c r="K14" s="13"/>
      <c r="L14" s="13"/>
      <c r="M14" s="35" t="s">
        <v>288</v>
      </c>
    </row>
    <row r="15" spans="1:18" ht="12.75" customHeight="1" x14ac:dyDescent="0.2">
      <c r="A15" s="52"/>
      <c r="B15" s="68"/>
      <c r="C15" s="69"/>
      <c r="D15" s="13"/>
      <c r="E15" s="13"/>
      <c r="F15" s="13"/>
      <c r="G15" s="13"/>
      <c r="H15" s="13"/>
      <c r="I15" s="13"/>
      <c r="J15" s="13"/>
      <c r="K15" s="13"/>
      <c r="L15" s="13"/>
      <c r="M15" s="35" t="s">
        <v>289</v>
      </c>
    </row>
    <row r="16" spans="1:18" s="13" customFormat="1" x14ac:dyDescent="0.2">
      <c r="A16" s="67"/>
      <c r="M16" s="35"/>
      <c r="N16" s="6"/>
      <c r="O16" s="34"/>
      <c r="P16" s="45"/>
      <c r="Q16" s="45"/>
      <c r="R16" s="6"/>
    </row>
    <row r="17" spans="1:19" s="13" customFormat="1" ht="2.25" customHeight="1" x14ac:dyDescent="0.2">
      <c r="A17" s="67"/>
      <c r="M17" s="35"/>
      <c r="N17" s="6"/>
      <c r="O17" s="34"/>
      <c r="P17" s="45"/>
      <c r="Q17" s="45"/>
      <c r="R17" s="6"/>
    </row>
    <row r="18" spans="1:19" s="13" customFormat="1" x14ac:dyDescent="0.2">
      <c r="A18" s="105" t="s">
        <v>15</v>
      </c>
      <c r="B18" s="105"/>
      <c r="C18" s="105"/>
      <c r="D18" s="105"/>
      <c r="E18" s="105"/>
      <c r="F18" s="105"/>
      <c r="G18" s="105"/>
      <c r="H18" s="105"/>
      <c r="I18" s="105"/>
      <c r="J18" s="105"/>
      <c r="K18" s="105"/>
      <c r="L18" s="105"/>
      <c r="M18" s="105"/>
      <c r="N18" s="105"/>
      <c r="O18" s="105"/>
      <c r="P18" s="57" t="s">
        <v>318</v>
      </c>
      <c r="Q18" s="57"/>
      <c r="S18" s="13">
        <v>112.5145</v>
      </c>
    </row>
    <row r="19" spans="1:19" s="11" customFormat="1" ht="102.75" customHeight="1" x14ac:dyDescent="0.15">
      <c r="A19" s="7" t="s">
        <v>13</v>
      </c>
      <c r="B19" s="8" t="s">
        <v>1</v>
      </c>
      <c r="C19" s="8" t="s">
        <v>16</v>
      </c>
      <c r="D19" s="9" t="s">
        <v>2</v>
      </c>
      <c r="E19" s="10" t="s">
        <v>3</v>
      </c>
      <c r="F19" s="9" t="s">
        <v>4</v>
      </c>
      <c r="G19" s="9" t="s">
        <v>5</v>
      </c>
      <c r="H19" s="9" t="s">
        <v>6</v>
      </c>
      <c r="I19" s="9" t="s">
        <v>8</v>
      </c>
      <c r="J19" s="9" t="s">
        <v>9</v>
      </c>
      <c r="K19" s="9" t="s">
        <v>10</v>
      </c>
      <c r="L19" s="9" t="s">
        <v>11</v>
      </c>
      <c r="M19" s="9" t="s">
        <v>12</v>
      </c>
      <c r="N19" s="31" t="s">
        <v>14</v>
      </c>
      <c r="O19" s="46" t="s">
        <v>81</v>
      </c>
      <c r="P19" s="46" t="s">
        <v>58</v>
      </c>
      <c r="Q19" s="108" t="s">
        <v>73</v>
      </c>
      <c r="R19" s="109"/>
    </row>
    <row r="20" spans="1:19" ht="33.75" x14ac:dyDescent="0.2">
      <c r="A20" s="15">
        <v>1</v>
      </c>
      <c r="B20" s="54" t="s">
        <v>92</v>
      </c>
      <c r="C20" s="54" t="s">
        <v>93</v>
      </c>
      <c r="D20" s="12">
        <v>9</v>
      </c>
      <c r="E20" s="12">
        <v>10</v>
      </c>
      <c r="F20" s="12">
        <v>4</v>
      </c>
      <c r="G20" s="12">
        <v>7</v>
      </c>
      <c r="H20" s="12">
        <v>10</v>
      </c>
      <c r="I20" s="12">
        <v>5</v>
      </c>
      <c r="J20" s="12">
        <v>2</v>
      </c>
      <c r="K20" s="12">
        <v>3</v>
      </c>
      <c r="L20" s="12">
        <v>2</v>
      </c>
      <c r="M20" s="12">
        <v>10</v>
      </c>
      <c r="N20" s="32">
        <f t="shared" ref="N20:N25" si="0">D20+E20+F20+G20+H20+I20+J20+K20+L20+M20</f>
        <v>62</v>
      </c>
      <c r="O20" s="49">
        <f>N20*S18</f>
        <v>6975.8989999999994</v>
      </c>
      <c r="P20" s="49">
        <f>8080</f>
        <v>8080</v>
      </c>
      <c r="Q20" s="106"/>
      <c r="R20" s="107"/>
    </row>
    <row r="21" spans="1:19" ht="45" x14ac:dyDescent="0.2">
      <c r="A21" s="15">
        <v>2</v>
      </c>
      <c r="B21" s="54" t="s">
        <v>94</v>
      </c>
      <c r="C21" s="54" t="s">
        <v>95</v>
      </c>
      <c r="D21" s="12">
        <v>9</v>
      </c>
      <c r="E21" s="12">
        <v>10</v>
      </c>
      <c r="F21" s="12">
        <f>1+5+2</f>
        <v>8</v>
      </c>
      <c r="G21" s="12">
        <v>10</v>
      </c>
      <c r="H21" s="12">
        <v>10</v>
      </c>
      <c r="I21" s="12">
        <v>5</v>
      </c>
      <c r="J21" s="12">
        <v>1</v>
      </c>
      <c r="K21" s="12">
        <v>3</v>
      </c>
      <c r="L21" s="12">
        <v>0</v>
      </c>
      <c r="M21" s="12">
        <v>8</v>
      </c>
      <c r="N21" s="32">
        <f t="shared" si="0"/>
        <v>64</v>
      </c>
      <c r="O21" s="49">
        <f>N21*S18</f>
        <v>7200.9279999999999</v>
      </c>
      <c r="P21" s="49">
        <f>7200+1000</f>
        <v>8200</v>
      </c>
      <c r="Q21" s="106"/>
      <c r="R21" s="107"/>
    </row>
    <row r="22" spans="1:19" ht="45" x14ac:dyDescent="0.2">
      <c r="A22" s="15">
        <v>3</v>
      </c>
      <c r="B22" s="54" t="s">
        <v>96</v>
      </c>
      <c r="C22" s="54" t="s">
        <v>97</v>
      </c>
      <c r="D22" s="12">
        <v>5</v>
      </c>
      <c r="E22" s="12">
        <v>10</v>
      </c>
      <c r="F22" s="12">
        <f>6+2</f>
        <v>8</v>
      </c>
      <c r="G22" s="12">
        <v>10</v>
      </c>
      <c r="H22" s="12">
        <v>2</v>
      </c>
      <c r="I22" s="12">
        <v>5</v>
      </c>
      <c r="J22" s="12">
        <v>1</v>
      </c>
      <c r="K22" s="12">
        <v>1</v>
      </c>
      <c r="L22" s="12">
        <v>0</v>
      </c>
      <c r="M22" s="12">
        <v>5</v>
      </c>
      <c r="N22" s="32">
        <f t="shared" si="0"/>
        <v>47</v>
      </c>
      <c r="O22" s="49">
        <f>N22*S18</f>
        <v>5288.1814999999997</v>
      </c>
      <c r="P22" s="49">
        <f>5290+300+20</f>
        <v>5610</v>
      </c>
      <c r="Q22" s="106"/>
      <c r="R22" s="107"/>
    </row>
    <row r="23" spans="1:19" ht="22.5" x14ac:dyDescent="0.2">
      <c r="A23" s="15">
        <v>4</v>
      </c>
      <c r="B23" s="54" t="s">
        <v>98</v>
      </c>
      <c r="C23" s="54" t="s">
        <v>99</v>
      </c>
      <c r="D23" s="12">
        <v>9</v>
      </c>
      <c r="E23" s="12">
        <v>10</v>
      </c>
      <c r="F23" s="12">
        <v>7</v>
      </c>
      <c r="G23" s="12">
        <v>10</v>
      </c>
      <c r="H23" s="12">
        <v>10</v>
      </c>
      <c r="I23" s="12">
        <v>5</v>
      </c>
      <c r="J23" s="12">
        <v>1</v>
      </c>
      <c r="K23" s="12">
        <v>1</v>
      </c>
      <c r="L23" s="12">
        <v>0</v>
      </c>
      <c r="M23" s="12">
        <v>10</v>
      </c>
      <c r="N23" s="32">
        <f t="shared" si="0"/>
        <v>63</v>
      </c>
      <c r="O23" s="49">
        <f>N23*S18</f>
        <v>7088.4134999999997</v>
      </c>
      <c r="P23" s="49">
        <f>8090</f>
        <v>8090</v>
      </c>
      <c r="Q23" s="106"/>
      <c r="R23" s="107"/>
    </row>
    <row r="24" spans="1:19" ht="45" x14ac:dyDescent="0.2">
      <c r="A24" s="15">
        <v>5</v>
      </c>
      <c r="B24" s="54" t="s">
        <v>100</v>
      </c>
      <c r="C24" s="72" t="s">
        <v>101</v>
      </c>
      <c r="D24" s="12">
        <v>9</v>
      </c>
      <c r="E24" s="12">
        <v>10</v>
      </c>
      <c r="F24" s="12">
        <v>0</v>
      </c>
      <c r="G24" s="12">
        <v>10</v>
      </c>
      <c r="H24" s="12">
        <v>2</v>
      </c>
      <c r="I24" s="12">
        <v>5</v>
      </c>
      <c r="J24" s="12">
        <v>0</v>
      </c>
      <c r="K24" s="12">
        <v>1</v>
      </c>
      <c r="L24" s="12">
        <v>0</v>
      </c>
      <c r="M24" s="12">
        <v>5</v>
      </c>
      <c r="N24" s="32">
        <f t="shared" si="0"/>
        <v>42</v>
      </c>
      <c r="O24" s="49">
        <f>N24*S18</f>
        <v>4725.6090000000004</v>
      </c>
      <c r="P24" s="49">
        <v>4730</v>
      </c>
      <c r="Q24" s="106"/>
      <c r="R24" s="107"/>
    </row>
    <row r="25" spans="1:19" ht="56.25" x14ac:dyDescent="0.2">
      <c r="A25" s="15">
        <v>7</v>
      </c>
      <c r="B25" s="54" t="s">
        <v>104</v>
      </c>
      <c r="C25" s="72" t="s">
        <v>105</v>
      </c>
      <c r="D25" s="12">
        <v>9</v>
      </c>
      <c r="E25" s="12">
        <v>10</v>
      </c>
      <c r="F25" s="12">
        <v>0</v>
      </c>
      <c r="G25" s="12">
        <v>10</v>
      </c>
      <c r="H25" s="12">
        <v>10</v>
      </c>
      <c r="I25" s="12">
        <v>5</v>
      </c>
      <c r="J25" s="12">
        <v>1</v>
      </c>
      <c r="K25" s="12">
        <v>0</v>
      </c>
      <c r="L25" s="12">
        <v>0</v>
      </c>
      <c r="M25" s="12">
        <v>5</v>
      </c>
      <c r="N25" s="32">
        <f t="shared" si="0"/>
        <v>50</v>
      </c>
      <c r="O25" s="49">
        <f>N25*S18</f>
        <v>5625.7250000000004</v>
      </c>
      <c r="P25" s="49">
        <f>5630+53</f>
        <v>5683</v>
      </c>
      <c r="Q25" s="106"/>
      <c r="R25" s="107"/>
    </row>
    <row r="26" spans="1:19" x14ac:dyDescent="0.2">
      <c r="N26" s="43">
        <f>SUM(N20:N25)</f>
        <v>328</v>
      </c>
      <c r="O26" s="93">
        <f>SUM(O20:O25)</f>
        <v>36904.756000000001</v>
      </c>
      <c r="P26" s="50">
        <f>SUM(P20:P25)</f>
        <v>40393</v>
      </c>
      <c r="R26" s="81"/>
    </row>
    <row r="27" spans="1:19" ht="22.5" customHeight="1" x14ac:dyDescent="0.2">
      <c r="B27" s="99" t="s">
        <v>334</v>
      </c>
      <c r="C27" s="99"/>
      <c r="D27" s="99"/>
      <c r="E27" s="99"/>
      <c r="F27" s="99"/>
      <c r="G27" s="99"/>
    </row>
    <row r="28" spans="1:19" ht="19.5" customHeight="1" x14ac:dyDescent="0.2">
      <c r="B28" s="99"/>
      <c r="C28" s="99"/>
      <c r="D28" s="99"/>
      <c r="E28" s="99"/>
      <c r="F28" s="99"/>
      <c r="G28" s="99"/>
      <c r="M28" s="35" t="s">
        <v>74</v>
      </c>
    </row>
    <row r="29" spans="1:19" ht="21" customHeight="1" x14ac:dyDescent="0.2">
      <c r="B29" s="99"/>
      <c r="C29" s="99"/>
      <c r="D29" s="99"/>
      <c r="E29" s="99"/>
      <c r="F29" s="99"/>
      <c r="G29" s="99"/>
      <c r="M29" s="35" t="s">
        <v>284</v>
      </c>
    </row>
    <row r="30" spans="1:19" ht="20.25" customHeight="1" x14ac:dyDescent="0.2">
      <c r="B30" s="99"/>
      <c r="C30" s="99"/>
      <c r="D30" s="99"/>
      <c r="E30" s="99"/>
      <c r="F30" s="99"/>
      <c r="G30" s="99"/>
      <c r="M30" s="35" t="s">
        <v>75</v>
      </c>
    </row>
    <row r="31" spans="1:19" ht="18.75" customHeight="1" x14ac:dyDescent="0.2">
      <c r="B31" s="99"/>
      <c r="C31" s="99"/>
      <c r="D31" s="99"/>
      <c r="E31" s="99"/>
      <c r="F31" s="99"/>
      <c r="G31" s="99"/>
      <c r="M31" s="35" t="s">
        <v>285</v>
      </c>
    </row>
    <row r="32" spans="1:19" ht="16.5" customHeight="1" x14ac:dyDescent="0.2">
      <c r="M32" s="35" t="s">
        <v>286</v>
      </c>
    </row>
    <row r="33" spans="2:13" ht="18" customHeight="1" x14ac:dyDescent="0.2">
      <c r="B33" s="25" t="s">
        <v>325</v>
      </c>
      <c r="M33" s="35" t="s">
        <v>287</v>
      </c>
    </row>
    <row r="34" spans="2:13" ht="16.5" customHeight="1" x14ac:dyDescent="0.2">
      <c r="M34" s="35" t="s">
        <v>288</v>
      </c>
    </row>
    <row r="35" spans="2:13" ht="16.5" customHeight="1" x14ac:dyDescent="0.2">
      <c r="M35" s="35" t="s">
        <v>289</v>
      </c>
    </row>
    <row r="36" spans="2:13" x14ac:dyDescent="0.2">
      <c r="M36" s="35"/>
    </row>
    <row r="37" spans="2:13" x14ac:dyDescent="0.2">
      <c r="M37" s="35"/>
    </row>
  </sheetData>
  <mergeCells count="14">
    <mergeCell ref="B27:G31"/>
    <mergeCell ref="B7:F11"/>
    <mergeCell ref="R4:R5"/>
    <mergeCell ref="P2:Q2"/>
    <mergeCell ref="A1:O1"/>
    <mergeCell ref="A2:O2"/>
    <mergeCell ref="A18:O18"/>
    <mergeCell ref="Q23:R23"/>
    <mergeCell ref="Q24:R24"/>
    <mergeCell ref="Q25:R25"/>
    <mergeCell ref="Q19:R19"/>
    <mergeCell ref="Q20:R20"/>
    <mergeCell ref="Q21:R21"/>
    <mergeCell ref="Q22:R22"/>
  </mergeCells>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zoomScale="110" zoomScaleNormal="110" workbookViewId="0">
      <selection activeCell="Q11" sqref="Q11"/>
    </sheetView>
  </sheetViews>
  <sheetFormatPr defaultRowHeight="11.25" x14ac:dyDescent="0.2"/>
  <cols>
    <col min="1" max="1" width="4.140625" style="29" customWidth="1"/>
    <col min="2" max="2" width="20.42578125" style="19" customWidth="1"/>
    <col min="3" max="3" width="25.85546875" style="19" customWidth="1"/>
    <col min="4" max="5" width="4" style="19" customWidth="1"/>
    <col min="6" max="6" width="5.7109375" style="19" customWidth="1"/>
    <col min="7" max="7" width="4.140625" style="19" customWidth="1"/>
    <col min="8" max="8" width="5" style="19" customWidth="1"/>
    <col min="9" max="10" width="6" style="19" customWidth="1"/>
    <col min="11" max="11" width="3.85546875" style="19" customWidth="1"/>
    <col min="12" max="12" width="4.28515625" style="19" customWidth="1"/>
    <col min="13" max="13" width="6.28515625" style="19" customWidth="1"/>
    <col min="14" max="14" width="3.28515625" style="19" customWidth="1"/>
    <col min="15" max="15" width="9.7109375" style="25" customWidth="1"/>
    <col min="16" max="16" width="8.28515625" style="58" customWidth="1"/>
    <col min="17" max="17" width="9" style="58" customWidth="1"/>
    <col min="18" max="18" width="13.5703125" style="19" customWidth="1"/>
    <col min="19" max="16384" width="9.140625" style="19"/>
  </cols>
  <sheetData>
    <row r="1" spans="1:19" ht="14.25" customHeight="1" x14ac:dyDescent="0.2">
      <c r="A1" s="111" t="s">
        <v>32</v>
      </c>
      <c r="B1" s="111"/>
      <c r="C1" s="111"/>
      <c r="D1" s="111"/>
      <c r="E1" s="111"/>
      <c r="F1" s="111"/>
      <c r="G1" s="111"/>
      <c r="H1" s="111"/>
      <c r="I1" s="111"/>
      <c r="J1" s="111"/>
      <c r="K1" s="111"/>
      <c r="L1" s="111"/>
      <c r="M1" s="111"/>
      <c r="N1" s="111"/>
      <c r="O1" s="111"/>
    </row>
    <row r="2" spans="1:19" ht="11.25" customHeight="1" x14ac:dyDescent="0.2">
      <c r="A2" s="112" t="s">
        <v>0</v>
      </c>
      <c r="B2" s="112"/>
      <c r="C2" s="112"/>
      <c r="D2" s="112"/>
      <c r="E2" s="112"/>
      <c r="F2" s="112"/>
      <c r="G2" s="112"/>
      <c r="H2" s="112"/>
      <c r="I2" s="112"/>
      <c r="J2" s="112"/>
      <c r="K2" s="112"/>
      <c r="L2" s="112"/>
      <c r="M2" s="112"/>
      <c r="N2" s="112"/>
      <c r="O2" s="112"/>
      <c r="P2" s="58" t="s">
        <v>317</v>
      </c>
      <c r="S2" s="19">
        <v>169.04259999999999</v>
      </c>
    </row>
    <row r="3" spans="1:19" s="25" customFormat="1" ht="111.75" customHeight="1" x14ac:dyDescent="0.15">
      <c r="A3" s="20" t="s">
        <v>13</v>
      </c>
      <c r="B3" s="21" t="s">
        <v>1</v>
      </c>
      <c r="C3" s="21" t="s">
        <v>16</v>
      </c>
      <c r="D3" s="22" t="s">
        <v>2</v>
      </c>
      <c r="E3" s="23" t="s">
        <v>3</v>
      </c>
      <c r="F3" s="22" t="s">
        <v>4</v>
      </c>
      <c r="G3" s="22" t="s">
        <v>5</v>
      </c>
      <c r="H3" s="22" t="s">
        <v>6</v>
      </c>
      <c r="I3" s="22" t="s">
        <v>7</v>
      </c>
      <c r="J3" s="22" t="s">
        <v>8</v>
      </c>
      <c r="K3" s="22" t="s">
        <v>9</v>
      </c>
      <c r="L3" s="22" t="s">
        <v>10</v>
      </c>
      <c r="M3" s="22" t="s">
        <v>11</v>
      </c>
      <c r="N3" s="22" t="s">
        <v>12</v>
      </c>
      <c r="O3" s="23" t="s">
        <v>14</v>
      </c>
      <c r="P3" s="46" t="s">
        <v>81</v>
      </c>
      <c r="Q3" s="46" t="s">
        <v>58</v>
      </c>
      <c r="R3" s="23" t="s">
        <v>73</v>
      </c>
    </row>
    <row r="4" spans="1:19" ht="33.75" x14ac:dyDescent="0.2">
      <c r="A4" s="42">
        <v>1</v>
      </c>
      <c r="B4" s="70" t="s">
        <v>47</v>
      </c>
      <c r="C4" s="70" t="s">
        <v>106</v>
      </c>
      <c r="D4" s="27">
        <v>0</v>
      </c>
      <c r="E4" s="27">
        <v>10</v>
      </c>
      <c r="F4" s="27">
        <v>4</v>
      </c>
      <c r="G4" s="27">
        <v>10</v>
      </c>
      <c r="H4" s="27">
        <v>10</v>
      </c>
      <c r="I4" s="27">
        <v>0</v>
      </c>
      <c r="J4" s="27">
        <v>10</v>
      </c>
      <c r="K4" s="27">
        <v>2</v>
      </c>
      <c r="L4" s="27">
        <v>2</v>
      </c>
      <c r="M4" s="27">
        <v>0</v>
      </c>
      <c r="N4" s="27">
        <v>10</v>
      </c>
      <c r="O4" s="24">
        <f t="shared" ref="O4:O5" si="0">D4+E4+F4+G4+H4+I4+J4+K4+L4+M4+N4</f>
        <v>58</v>
      </c>
      <c r="P4" s="48">
        <f>O4*S2</f>
        <v>9804.4707999999991</v>
      </c>
      <c r="Q4" s="48">
        <f>9804+1200+100+35+15</f>
        <v>11154</v>
      </c>
      <c r="R4" s="82"/>
    </row>
    <row r="5" spans="1:19" ht="33.75" x14ac:dyDescent="0.2">
      <c r="A5" s="42">
        <v>2</v>
      </c>
      <c r="B5" s="70" t="s">
        <v>107</v>
      </c>
      <c r="C5" s="70" t="s">
        <v>108</v>
      </c>
      <c r="D5" s="27">
        <v>0</v>
      </c>
      <c r="E5" s="27">
        <v>10</v>
      </c>
      <c r="F5" s="27">
        <v>0</v>
      </c>
      <c r="G5" s="27">
        <v>5</v>
      </c>
      <c r="H5" s="27">
        <v>10</v>
      </c>
      <c r="I5" s="27">
        <v>10</v>
      </c>
      <c r="J5" s="27">
        <v>10</v>
      </c>
      <c r="K5" s="27">
        <v>1</v>
      </c>
      <c r="L5" s="27">
        <v>2</v>
      </c>
      <c r="M5" s="27">
        <v>0</v>
      </c>
      <c r="N5" s="27">
        <v>7</v>
      </c>
      <c r="O5" s="24">
        <f t="shared" si="0"/>
        <v>55</v>
      </c>
      <c r="P5" s="48">
        <f>O5*S2</f>
        <v>9297.3429999999989</v>
      </c>
      <c r="Q5" s="48">
        <v>9298</v>
      </c>
      <c r="R5" s="83"/>
    </row>
    <row r="6" spans="1:19" ht="22.5" x14ac:dyDescent="0.2">
      <c r="A6" s="42">
        <v>3</v>
      </c>
      <c r="B6" s="70" t="s">
        <v>109</v>
      </c>
      <c r="C6" s="70" t="s">
        <v>110</v>
      </c>
      <c r="D6" s="27">
        <v>0</v>
      </c>
      <c r="E6" s="27">
        <v>10</v>
      </c>
      <c r="F6" s="27">
        <v>8</v>
      </c>
      <c r="G6" s="27">
        <v>7</v>
      </c>
      <c r="H6" s="27">
        <v>2</v>
      </c>
      <c r="I6" s="27">
        <v>0</v>
      </c>
      <c r="J6" s="27">
        <v>10</v>
      </c>
      <c r="K6" s="27">
        <v>1</v>
      </c>
      <c r="L6" s="27">
        <v>3</v>
      </c>
      <c r="M6" s="27">
        <v>0</v>
      </c>
      <c r="N6" s="27">
        <v>10</v>
      </c>
      <c r="O6" s="24">
        <f>D6+E6+F6+G6+H6+I6+J6+K6+L6+M6+N6</f>
        <v>51</v>
      </c>
      <c r="P6" s="48">
        <f>O6*S2</f>
        <v>8621.1725999999999</v>
      </c>
      <c r="Q6" s="48">
        <v>8621</v>
      </c>
      <c r="R6" s="82"/>
    </row>
    <row r="7" spans="1:19" ht="22.5" x14ac:dyDescent="0.2">
      <c r="A7" s="42">
        <v>4</v>
      </c>
      <c r="B7" s="71" t="s">
        <v>44</v>
      </c>
      <c r="C7" s="71" t="s">
        <v>44</v>
      </c>
      <c r="D7" s="27">
        <v>0</v>
      </c>
      <c r="E7" s="27">
        <v>5</v>
      </c>
      <c r="F7" s="27">
        <v>0</v>
      </c>
      <c r="G7" s="27">
        <v>0</v>
      </c>
      <c r="H7" s="27">
        <v>10</v>
      </c>
      <c r="I7" s="27">
        <v>0</v>
      </c>
      <c r="J7" s="27">
        <v>10</v>
      </c>
      <c r="K7" s="27">
        <v>2</v>
      </c>
      <c r="L7" s="27">
        <v>8</v>
      </c>
      <c r="M7" s="27">
        <v>0</v>
      </c>
      <c r="N7" s="27">
        <v>7</v>
      </c>
      <c r="O7" s="24">
        <f t="shared" ref="O7:O22" si="1">D7+E7+F7+G7+H7+I7+J7+K7+L7+M7+N7</f>
        <v>42</v>
      </c>
      <c r="P7" s="48">
        <f>O7*S2</f>
        <v>7099.7891999999993</v>
      </c>
      <c r="Q7" s="48">
        <v>7100</v>
      </c>
      <c r="R7" s="83"/>
    </row>
    <row r="8" spans="1:19" ht="22.5" x14ac:dyDescent="0.2">
      <c r="A8" s="42">
        <v>5</v>
      </c>
      <c r="B8" s="71" t="s">
        <v>112</v>
      </c>
      <c r="C8" s="71" t="s">
        <v>113</v>
      </c>
      <c r="D8" s="27">
        <v>0</v>
      </c>
      <c r="E8" s="27">
        <v>5</v>
      </c>
      <c r="F8" s="27">
        <v>1</v>
      </c>
      <c r="G8" s="27">
        <v>0</v>
      </c>
      <c r="H8" s="27">
        <v>2</v>
      </c>
      <c r="I8" s="27">
        <v>0</v>
      </c>
      <c r="J8" s="27">
        <v>10</v>
      </c>
      <c r="K8" s="27">
        <v>2</v>
      </c>
      <c r="L8" s="27">
        <v>3</v>
      </c>
      <c r="M8" s="27">
        <v>0</v>
      </c>
      <c r="N8" s="27">
        <v>7</v>
      </c>
      <c r="O8" s="24">
        <f t="shared" si="1"/>
        <v>30</v>
      </c>
      <c r="P8" s="48">
        <f>O8*S2</f>
        <v>5071.2780000000002</v>
      </c>
      <c r="Q8" s="48">
        <v>5071</v>
      </c>
      <c r="R8" s="83"/>
    </row>
    <row r="9" spans="1:19" ht="22.5" x14ac:dyDescent="0.2">
      <c r="A9" s="42">
        <v>6</v>
      </c>
      <c r="B9" s="71" t="s">
        <v>114</v>
      </c>
      <c r="C9" s="71" t="s">
        <v>115</v>
      </c>
      <c r="D9" s="27">
        <v>0</v>
      </c>
      <c r="E9" s="27">
        <v>10</v>
      </c>
      <c r="F9" s="27">
        <v>3</v>
      </c>
      <c r="G9" s="27">
        <v>0</v>
      </c>
      <c r="H9" s="27">
        <v>10</v>
      </c>
      <c r="I9" s="27">
        <v>10</v>
      </c>
      <c r="J9" s="27">
        <v>10</v>
      </c>
      <c r="K9" s="27">
        <v>1</v>
      </c>
      <c r="L9" s="27">
        <v>5</v>
      </c>
      <c r="M9" s="27">
        <v>2</v>
      </c>
      <c r="N9" s="27">
        <v>10</v>
      </c>
      <c r="O9" s="24">
        <f t="shared" si="1"/>
        <v>61</v>
      </c>
      <c r="P9" s="48">
        <f>O9*S2</f>
        <v>10311.598599999999</v>
      </c>
      <c r="Q9" s="48">
        <f>10312+1100+100+50+20</f>
        <v>11582</v>
      </c>
      <c r="R9" s="82"/>
    </row>
    <row r="10" spans="1:19" ht="33.75" x14ac:dyDescent="0.2">
      <c r="A10" s="42">
        <v>7</v>
      </c>
      <c r="B10" s="70" t="s">
        <v>45</v>
      </c>
      <c r="C10" s="70" t="s">
        <v>116</v>
      </c>
      <c r="D10" s="27">
        <v>0</v>
      </c>
      <c r="E10" s="27">
        <v>5</v>
      </c>
      <c r="F10" s="27">
        <v>0</v>
      </c>
      <c r="G10" s="27">
        <v>0</v>
      </c>
      <c r="H10" s="27">
        <v>6</v>
      </c>
      <c r="I10" s="27">
        <v>0</v>
      </c>
      <c r="J10" s="27">
        <v>10</v>
      </c>
      <c r="K10" s="27">
        <v>0</v>
      </c>
      <c r="L10" s="27">
        <v>2</v>
      </c>
      <c r="M10" s="27">
        <v>0</v>
      </c>
      <c r="N10" s="27">
        <v>7</v>
      </c>
      <c r="O10" s="24">
        <f t="shared" si="1"/>
        <v>30</v>
      </c>
      <c r="P10" s="48">
        <f>O10*S2</f>
        <v>5071.2780000000002</v>
      </c>
      <c r="Q10" s="48">
        <v>5000</v>
      </c>
      <c r="R10" s="83"/>
    </row>
    <row r="11" spans="1:19" ht="21" customHeight="1" x14ac:dyDescent="0.2">
      <c r="A11" s="42">
        <v>8</v>
      </c>
      <c r="B11" s="70" t="s">
        <v>117</v>
      </c>
      <c r="C11" s="70" t="s">
        <v>118</v>
      </c>
      <c r="D11" s="27">
        <v>0</v>
      </c>
      <c r="E11" s="27">
        <v>5</v>
      </c>
      <c r="F11" s="27">
        <v>0</v>
      </c>
      <c r="G11" s="27">
        <v>0</v>
      </c>
      <c r="H11" s="27">
        <v>2</v>
      </c>
      <c r="I11" s="27">
        <v>0</v>
      </c>
      <c r="J11" s="27">
        <v>10</v>
      </c>
      <c r="K11" s="27">
        <v>2</v>
      </c>
      <c r="L11" s="27">
        <v>1</v>
      </c>
      <c r="M11" s="27">
        <v>0</v>
      </c>
      <c r="N11" s="27">
        <v>7</v>
      </c>
      <c r="O11" s="24">
        <f t="shared" si="1"/>
        <v>27</v>
      </c>
      <c r="P11" s="48">
        <f>O11*S2</f>
        <v>4564.1502</v>
      </c>
      <c r="Q11" s="48">
        <v>4565</v>
      </c>
      <c r="R11" s="83"/>
    </row>
    <row r="12" spans="1:19" ht="22.5" x14ac:dyDescent="0.2">
      <c r="A12" s="42">
        <v>9</v>
      </c>
      <c r="B12" s="70" t="s">
        <v>121</v>
      </c>
      <c r="C12" s="70" t="s">
        <v>122</v>
      </c>
      <c r="D12" s="27">
        <v>0</v>
      </c>
      <c r="E12" s="27">
        <v>10</v>
      </c>
      <c r="F12" s="27">
        <v>1</v>
      </c>
      <c r="G12" s="27">
        <v>0</v>
      </c>
      <c r="H12" s="27">
        <v>2</v>
      </c>
      <c r="I12" s="27">
        <v>5</v>
      </c>
      <c r="J12" s="27">
        <v>10</v>
      </c>
      <c r="K12" s="27">
        <v>1</v>
      </c>
      <c r="L12" s="27">
        <v>1</v>
      </c>
      <c r="M12" s="27">
        <v>4</v>
      </c>
      <c r="N12" s="27">
        <v>10</v>
      </c>
      <c r="O12" s="24">
        <f t="shared" si="1"/>
        <v>44</v>
      </c>
      <c r="P12" s="48">
        <f>O12*S2</f>
        <v>7437.8743999999997</v>
      </c>
      <c r="Q12" s="48">
        <v>7438</v>
      </c>
      <c r="R12" s="83"/>
    </row>
    <row r="13" spans="1:19" ht="45" x14ac:dyDescent="0.2">
      <c r="A13" s="42">
        <v>10</v>
      </c>
      <c r="B13" s="70" t="s">
        <v>123</v>
      </c>
      <c r="C13" s="70" t="s">
        <v>124</v>
      </c>
      <c r="D13" s="27">
        <v>0</v>
      </c>
      <c r="E13" s="27">
        <v>5</v>
      </c>
      <c r="F13" s="27">
        <v>0</v>
      </c>
      <c r="G13" s="27">
        <v>0</v>
      </c>
      <c r="H13" s="27">
        <v>2</v>
      </c>
      <c r="I13" s="27">
        <v>8</v>
      </c>
      <c r="J13" s="27">
        <v>10</v>
      </c>
      <c r="K13" s="27">
        <v>0</v>
      </c>
      <c r="L13" s="27">
        <v>3</v>
      </c>
      <c r="M13" s="27">
        <v>0</v>
      </c>
      <c r="N13" s="27">
        <v>7</v>
      </c>
      <c r="O13" s="24">
        <f t="shared" si="1"/>
        <v>35</v>
      </c>
      <c r="P13" s="48">
        <f>O13*S2</f>
        <v>5916.491</v>
      </c>
      <c r="Q13" s="48">
        <v>5917</v>
      </c>
      <c r="R13" s="83"/>
    </row>
    <row r="14" spans="1:19" ht="33.75" x14ac:dyDescent="0.2">
      <c r="A14" s="42">
        <v>11</v>
      </c>
      <c r="B14" s="70" t="s">
        <v>292</v>
      </c>
      <c r="C14" s="70" t="s">
        <v>125</v>
      </c>
      <c r="D14" s="27">
        <v>0</v>
      </c>
      <c r="E14" s="27">
        <v>5</v>
      </c>
      <c r="F14" s="27">
        <v>0</v>
      </c>
      <c r="G14" s="27">
        <v>0</v>
      </c>
      <c r="H14" s="27">
        <v>6</v>
      </c>
      <c r="I14" s="27">
        <v>10</v>
      </c>
      <c r="J14" s="27">
        <v>10</v>
      </c>
      <c r="K14" s="27">
        <v>1</v>
      </c>
      <c r="L14" s="27">
        <v>10</v>
      </c>
      <c r="M14" s="27">
        <v>0</v>
      </c>
      <c r="N14" s="27">
        <v>7</v>
      </c>
      <c r="O14" s="24">
        <f t="shared" si="1"/>
        <v>49</v>
      </c>
      <c r="P14" s="48">
        <f>O14*S2</f>
        <v>8283.0874000000003</v>
      </c>
      <c r="Q14" s="48">
        <v>8283</v>
      </c>
      <c r="R14" s="83"/>
    </row>
    <row r="15" spans="1:19" ht="45" x14ac:dyDescent="0.2">
      <c r="A15" s="42">
        <v>12</v>
      </c>
      <c r="B15" s="70" t="s">
        <v>126</v>
      </c>
      <c r="C15" s="70" t="s">
        <v>127</v>
      </c>
      <c r="D15" s="27">
        <v>0</v>
      </c>
      <c r="E15" s="27">
        <v>10</v>
      </c>
      <c r="F15" s="27">
        <v>0</v>
      </c>
      <c r="G15" s="27">
        <v>0</v>
      </c>
      <c r="H15" s="27">
        <v>10</v>
      </c>
      <c r="I15" s="27">
        <v>10</v>
      </c>
      <c r="J15" s="27">
        <v>10</v>
      </c>
      <c r="K15" s="27">
        <v>2</v>
      </c>
      <c r="L15" s="27">
        <v>2</v>
      </c>
      <c r="M15" s="27">
        <v>0</v>
      </c>
      <c r="N15" s="27">
        <v>7</v>
      </c>
      <c r="O15" s="24">
        <f t="shared" si="1"/>
        <v>51</v>
      </c>
      <c r="P15" s="48">
        <f>O15*S2</f>
        <v>8621.1725999999999</v>
      </c>
      <c r="Q15" s="48">
        <v>8621</v>
      </c>
      <c r="R15" s="83"/>
    </row>
    <row r="16" spans="1:19" ht="22.5" x14ac:dyDescent="0.2">
      <c r="A16" s="42">
        <v>13</v>
      </c>
      <c r="B16" s="73" t="s">
        <v>128</v>
      </c>
      <c r="C16" s="74" t="s">
        <v>129</v>
      </c>
      <c r="D16" s="27">
        <v>0</v>
      </c>
      <c r="E16" s="27">
        <v>10</v>
      </c>
      <c r="F16" s="27">
        <v>3</v>
      </c>
      <c r="G16" s="27">
        <v>5</v>
      </c>
      <c r="H16" s="27">
        <v>10</v>
      </c>
      <c r="I16" s="27">
        <v>10</v>
      </c>
      <c r="J16" s="27">
        <v>10</v>
      </c>
      <c r="K16" s="27">
        <v>1</v>
      </c>
      <c r="L16" s="27">
        <v>2</v>
      </c>
      <c r="M16" s="27">
        <v>0</v>
      </c>
      <c r="N16" s="27">
        <v>10</v>
      </c>
      <c r="O16" s="24">
        <f t="shared" si="1"/>
        <v>61</v>
      </c>
      <c r="P16" s="48">
        <f>O16*S2</f>
        <v>10311.598599999999</v>
      </c>
      <c r="Q16" s="48">
        <f>10312+1100+100+50+20</f>
        <v>11582</v>
      </c>
      <c r="R16" s="82"/>
    </row>
    <row r="17" spans="1:20" ht="45" x14ac:dyDescent="0.2">
      <c r="A17" s="42">
        <v>14</v>
      </c>
      <c r="B17" s="70" t="s">
        <v>46</v>
      </c>
      <c r="C17" s="71" t="s">
        <v>130</v>
      </c>
      <c r="D17" s="27">
        <v>0</v>
      </c>
      <c r="E17" s="27">
        <v>10</v>
      </c>
      <c r="F17" s="27">
        <v>2</v>
      </c>
      <c r="G17" s="27">
        <v>7</v>
      </c>
      <c r="H17" s="27">
        <v>10</v>
      </c>
      <c r="I17" s="27">
        <v>8</v>
      </c>
      <c r="J17" s="27">
        <v>10</v>
      </c>
      <c r="K17" s="27">
        <v>2</v>
      </c>
      <c r="L17" s="27">
        <v>0</v>
      </c>
      <c r="M17" s="27">
        <v>0</v>
      </c>
      <c r="N17" s="27">
        <v>10</v>
      </c>
      <c r="O17" s="24">
        <f t="shared" si="1"/>
        <v>59</v>
      </c>
      <c r="P17" s="48">
        <f>O17*S2</f>
        <v>9973.5133999999998</v>
      </c>
      <c r="Q17" s="48">
        <f>9974+1100+33+100+16</f>
        <v>11223</v>
      </c>
      <c r="R17" s="82"/>
    </row>
    <row r="18" spans="1:20" ht="22.5" x14ac:dyDescent="0.2">
      <c r="A18" s="42">
        <v>15</v>
      </c>
      <c r="B18" s="70" t="s">
        <v>131</v>
      </c>
      <c r="C18" s="71" t="s">
        <v>132</v>
      </c>
      <c r="D18" s="27">
        <v>0</v>
      </c>
      <c r="E18" s="27">
        <v>10</v>
      </c>
      <c r="F18" s="27">
        <v>3</v>
      </c>
      <c r="G18" s="27">
        <v>0</v>
      </c>
      <c r="H18" s="27">
        <v>0</v>
      </c>
      <c r="I18" s="27">
        <v>10</v>
      </c>
      <c r="J18" s="27">
        <v>0</v>
      </c>
      <c r="K18" s="27">
        <v>0</v>
      </c>
      <c r="L18" s="27">
        <v>0</v>
      </c>
      <c r="M18" s="27">
        <v>0</v>
      </c>
      <c r="N18" s="27">
        <v>10</v>
      </c>
      <c r="O18" s="24">
        <f t="shared" si="1"/>
        <v>33</v>
      </c>
      <c r="P18" s="48">
        <f>O18*S2</f>
        <v>5578.4057999999995</v>
      </c>
      <c r="Q18" s="48">
        <v>5578</v>
      </c>
      <c r="R18" s="83"/>
    </row>
    <row r="19" spans="1:20" ht="33.75" x14ac:dyDescent="0.2">
      <c r="A19" s="42">
        <v>16</v>
      </c>
      <c r="B19" s="70" t="s">
        <v>133</v>
      </c>
      <c r="C19" s="71" t="s">
        <v>134</v>
      </c>
      <c r="D19" s="27">
        <v>0</v>
      </c>
      <c r="E19" s="27">
        <v>5</v>
      </c>
      <c r="F19" s="27">
        <v>3</v>
      </c>
      <c r="G19" s="27">
        <v>0</v>
      </c>
      <c r="H19" s="27">
        <v>10</v>
      </c>
      <c r="I19" s="27">
        <v>8</v>
      </c>
      <c r="J19" s="27">
        <v>10</v>
      </c>
      <c r="K19" s="27">
        <v>1</v>
      </c>
      <c r="L19" s="27">
        <v>1</v>
      </c>
      <c r="M19" s="27">
        <v>0</v>
      </c>
      <c r="N19" s="27">
        <v>7</v>
      </c>
      <c r="O19" s="24">
        <f t="shared" si="1"/>
        <v>45</v>
      </c>
      <c r="P19" s="48">
        <f>O19*S2</f>
        <v>7606.9169999999995</v>
      </c>
      <c r="Q19" s="48">
        <v>7607</v>
      </c>
      <c r="R19" s="83"/>
    </row>
    <row r="20" spans="1:20" ht="33.75" x14ac:dyDescent="0.2">
      <c r="A20" s="42">
        <v>17</v>
      </c>
      <c r="B20" s="70" t="s">
        <v>135</v>
      </c>
      <c r="C20" s="71" t="s">
        <v>136</v>
      </c>
      <c r="D20" s="27">
        <v>0</v>
      </c>
      <c r="E20" s="27">
        <v>10</v>
      </c>
      <c r="F20" s="27">
        <v>3</v>
      </c>
      <c r="G20" s="27">
        <v>5</v>
      </c>
      <c r="H20" s="27">
        <v>6</v>
      </c>
      <c r="I20" s="27">
        <v>0</v>
      </c>
      <c r="J20" s="27">
        <v>10</v>
      </c>
      <c r="K20" s="27">
        <v>0</v>
      </c>
      <c r="L20" s="27">
        <v>5</v>
      </c>
      <c r="M20" s="27">
        <v>0</v>
      </c>
      <c r="N20" s="27">
        <v>10</v>
      </c>
      <c r="O20" s="24">
        <f t="shared" si="1"/>
        <v>49</v>
      </c>
      <c r="P20" s="48">
        <f>O20*S2</f>
        <v>8283.0874000000003</v>
      </c>
      <c r="Q20" s="48">
        <v>8283</v>
      </c>
      <c r="R20" s="83"/>
    </row>
    <row r="21" spans="1:20" ht="22.5" x14ac:dyDescent="0.2">
      <c r="A21" s="42">
        <v>18</v>
      </c>
      <c r="B21" s="70" t="s">
        <v>137</v>
      </c>
      <c r="C21" s="71" t="s">
        <v>138</v>
      </c>
      <c r="D21" s="27">
        <v>0</v>
      </c>
      <c r="E21" s="27">
        <v>10</v>
      </c>
      <c r="F21" s="27">
        <f>7+8</f>
        <v>15</v>
      </c>
      <c r="G21" s="27">
        <v>10</v>
      </c>
      <c r="H21" s="27">
        <v>10</v>
      </c>
      <c r="I21" s="27">
        <v>8</v>
      </c>
      <c r="J21" s="27">
        <v>10</v>
      </c>
      <c r="K21" s="27">
        <v>2</v>
      </c>
      <c r="L21" s="27">
        <v>0</v>
      </c>
      <c r="M21" s="27">
        <v>0</v>
      </c>
      <c r="N21" s="27">
        <v>10</v>
      </c>
      <c r="O21" s="24">
        <f t="shared" si="1"/>
        <v>75</v>
      </c>
      <c r="P21" s="48">
        <f>O21*S2</f>
        <v>12678.195</v>
      </c>
      <c r="Q21" s="48">
        <f>12678+1100+100</f>
        <v>13878</v>
      </c>
      <c r="R21" s="82"/>
    </row>
    <row r="22" spans="1:20" ht="22.5" customHeight="1" x14ac:dyDescent="0.2">
      <c r="A22" s="42">
        <v>19</v>
      </c>
      <c r="B22" s="70" t="s">
        <v>139</v>
      </c>
      <c r="C22" s="71" t="s">
        <v>140</v>
      </c>
      <c r="D22" s="27">
        <v>0</v>
      </c>
      <c r="E22" s="27">
        <v>10</v>
      </c>
      <c r="F22" s="27">
        <f>1+4</f>
        <v>5</v>
      </c>
      <c r="G22" s="27">
        <v>7</v>
      </c>
      <c r="H22" s="27">
        <v>2</v>
      </c>
      <c r="I22" s="27">
        <v>8</v>
      </c>
      <c r="J22" s="27">
        <v>10</v>
      </c>
      <c r="K22" s="27">
        <v>2</v>
      </c>
      <c r="L22" s="27">
        <v>3</v>
      </c>
      <c r="M22" s="27">
        <v>0</v>
      </c>
      <c r="N22" s="27">
        <v>10</v>
      </c>
      <c r="O22" s="24">
        <f t="shared" si="1"/>
        <v>57</v>
      </c>
      <c r="P22" s="48">
        <f>O22*S2</f>
        <v>9635.4282000000003</v>
      </c>
      <c r="Q22" s="48">
        <v>9000</v>
      </c>
      <c r="R22" s="83"/>
    </row>
    <row r="23" spans="1:20" s="28" customFormat="1" ht="15" customHeight="1" x14ac:dyDescent="0.2">
      <c r="A23" s="55"/>
      <c r="O23" s="30">
        <f>SUM(O4:O22)</f>
        <v>912</v>
      </c>
      <c r="P23" s="85">
        <f>SUM(P4:P22)</f>
        <v>154166.85119999998</v>
      </c>
      <c r="Q23" s="85">
        <f>SUM(Q4:Q22)</f>
        <v>159801</v>
      </c>
      <c r="T23" s="59">
        <f>159801-Q23</f>
        <v>0</v>
      </c>
    </row>
    <row r="24" spans="1:20" s="6" customFormat="1" ht="13.5" customHeight="1" x14ac:dyDescent="0.2">
      <c r="A24" s="29"/>
      <c r="B24" s="99" t="s">
        <v>333</v>
      </c>
      <c r="C24" s="99"/>
      <c r="D24" s="99"/>
      <c r="E24" s="99"/>
      <c r="K24" s="35" t="s">
        <v>74</v>
      </c>
      <c r="P24" s="45"/>
      <c r="Q24" s="45"/>
      <c r="R24" s="45"/>
      <c r="T24" s="45"/>
    </row>
    <row r="25" spans="1:20" s="6" customFormat="1" ht="18" customHeight="1" x14ac:dyDescent="0.2">
      <c r="A25" s="29"/>
      <c r="B25" s="99"/>
      <c r="C25" s="99"/>
      <c r="D25" s="99"/>
      <c r="E25" s="99"/>
      <c r="K25" s="35" t="s">
        <v>284</v>
      </c>
      <c r="P25" s="45"/>
      <c r="Q25" s="45"/>
    </row>
    <row r="26" spans="1:20" s="6" customFormat="1" ht="20.25" customHeight="1" x14ac:dyDescent="0.2">
      <c r="A26" s="29"/>
      <c r="B26" s="99"/>
      <c r="C26" s="99"/>
      <c r="D26" s="99"/>
      <c r="E26" s="99"/>
      <c r="K26" s="35" t="s">
        <v>75</v>
      </c>
      <c r="P26" s="45"/>
      <c r="Q26" s="45"/>
    </row>
    <row r="27" spans="1:20" s="6" customFormat="1" ht="21.75" customHeight="1" x14ac:dyDescent="0.2">
      <c r="A27" s="29"/>
      <c r="B27" s="99"/>
      <c r="C27" s="99"/>
      <c r="D27" s="99"/>
      <c r="E27" s="99"/>
      <c r="K27" s="35" t="s">
        <v>285</v>
      </c>
      <c r="P27" s="45"/>
      <c r="Q27" s="45"/>
    </row>
    <row r="28" spans="1:20" s="6" customFormat="1" ht="16.5" customHeight="1" x14ac:dyDescent="0.2">
      <c r="A28" s="29"/>
      <c r="B28" s="99"/>
      <c r="C28" s="99"/>
      <c r="D28" s="99"/>
      <c r="E28" s="99"/>
      <c r="K28" s="35" t="s">
        <v>286</v>
      </c>
      <c r="P28" s="45"/>
      <c r="Q28" s="45"/>
    </row>
    <row r="29" spans="1:20" s="6" customFormat="1" ht="15" customHeight="1" x14ac:dyDescent="0.2">
      <c r="A29" s="29"/>
      <c r="K29" s="35" t="s">
        <v>287</v>
      </c>
      <c r="P29" s="45"/>
      <c r="Q29" s="45"/>
    </row>
    <row r="30" spans="1:20" s="6" customFormat="1" ht="15" customHeight="1" x14ac:dyDescent="0.2">
      <c r="A30" s="29"/>
      <c r="B30" s="25" t="s">
        <v>283</v>
      </c>
      <c r="K30" s="35" t="s">
        <v>288</v>
      </c>
      <c r="P30" s="45"/>
      <c r="Q30" s="45"/>
    </row>
    <row r="31" spans="1:20" s="6" customFormat="1" ht="15" customHeight="1" x14ac:dyDescent="0.2">
      <c r="A31" s="19"/>
      <c r="K31" s="35" t="s">
        <v>289</v>
      </c>
      <c r="P31" s="45"/>
      <c r="Q31" s="45"/>
    </row>
    <row r="32" spans="1:20" s="6" customFormat="1" x14ac:dyDescent="0.2">
      <c r="A32" s="19"/>
      <c r="P32" s="45"/>
      <c r="Q32" s="45"/>
    </row>
    <row r="33" spans="1:19" s="28" customFormat="1" ht="21" customHeight="1" x14ac:dyDescent="0.2">
      <c r="A33" s="110" t="s">
        <v>15</v>
      </c>
      <c r="B33" s="110"/>
      <c r="C33" s="110"/>
      <c r="D33" s="110"/>
      <c r="E33" s="110"/>
      <c r="F33" s="110"/>
      <c r="G33" s="110"/>
      <c r="H33" s="110"/>
      <c r="I33" s="110"/>
      <c r="J33" s="110"/>
      <c r="K33" s="110"/>
      <c r="L33" s="110"/>
      <c r="M33" s="110"/>
      <c r="N33" s="110"/>
      <c r="O33" s="110"/>
      <c r="P33" s="59" t="s">
        <v>320</v>
      </c>
      <c r="Q33" s="59"/>
      <c r="S33" s="28">
        <v>112.5145</v>
      </c>
    </row>
    <row r="34" spans="1:19" s="25" customFormat="1" ht="99.75" customHeight="1" x14ac:dyDescent="0.15">
      <c r="A34" s="20" t="s">
        <v>13</v>
      </c>
      <c r="B34" s="21" t="s">
        <v>1</v>
      </c>
      <c r="C34" s="21" t="s">
        <v>16</v>
      </c>
      <c r="D34" s="22" t="s">
        <v>2</v>
      </c>
      <c r="E34" s="23" t="s">
        <v>3</v>
      </c>
      <c r="F34" s="22" t="s">
        <v>4</v>
      </c>
      <c r="G34" s="22" t="s">
        <v>5</v>
      </c>
      <c r="H34" s="22" t="s">
        <v>6</v>
      </c>
      <c r="I34" s="22" t="s">
        <v>8</v>
      </c>
      <c r="J34" s="22" t="s">
        <v>9</v>
      </c>
      <c r="K34" s="22" t="s">
        <v>10</v>
      </c>
      <c r="L34" s="22" t="s">
        <v>11</v>
      </c>
      <c r="M34" s="22" t="s">
        <v>12</v>
      </c>
      <c r="N34" s="23" t="s">
        <v>14</v>
      </c>
      <c r="O34" s="46" t="s">
        <v>81</v>
      </c>
      <c r="P34" s="46" t="s">
        <v>58</v>
      </c>
      <c r="Q34" s="23" t="s">
        <v>73</v>
      </c>
    </row>
    <row r="35" spans="1:19" s="6" customFormat="1" ht="33.75" x14ac:dyDescent="0.2">
      <c r="A35" s="15">
        <v>1</v>
      </c>
      <c r="B35" s="54" t="s">
        <v>90</v>
      </c>
      <c r="C35" s="54" t="s">
        <v>91</v>
      </c>
      <c r="D35" s="12">
        <v>0</v>
      </c>
      <c r="E35" s="12">
        <v>10</v>
      </c>
      <c r="F35" s="12">
        <v>4</v>
      </c>
      <c r="G35" s="12">
        <v>5</v>
      </c>
      <c r="H35" s="12">
        <v>10</v>
      </c>
      <c r="I35" s="12">
        <v>5</v>
      </c>
      <c r="J35" s="12">
        <v>2</v>
      </c>
      <c r="K35" s="12">
        <v>1</v>
      </c>
      <c r="L35" s="12">
        <v>0</v>
      </c>
      <c r="M35" s="12">
        <v>2</v>
      </c>
      <c r="N35" s="32">
        <f>D35+E35+F35+G35+H35+I35+J35+K35+L35+M35</f>
        <v>39</v>
      </c>
      <c r="O35" s="49">
        <f>N35*S33</f>
        <v>4388.0654999999997</v>
      </c>
      <c r="P35" s="49">
        <v>4390</v>
      </c>
      <c r="Q35" s="53"/>
      <c r="R35" s="84"/>
    </row>
    <row r="36" spans="1:19" ht="56.25" x14ac:dyDescent="0.2">
      <c r="A36" s="42">
        <v>2</v>
      </c>
      <c r="B36" s="70" t="s">
        <v>48</v>
      </c>
      <c r="C36" s="70" t="s">
        <v>141</v>
      </c>
      <c r="D36" s="27">
        <v>0</v>
      </c>
      <c r="E36" s="27">
        <v>10</v>
      </c>
      <c r="F36" s="27">
        <v>3</v>
      </c>
      <c r="G36" s="27">
        <v>0</v>
      </c>
      <c r="H36" s="27">
        <v>10</v>
      </c>
      <c r="I36" s="27">
        <v>10</v>
      </c>
      <c r="J36" s="27">
        <v>2</v>
      </c>
      <c r="K36" s="27">
        <v>3</v>
      </c>
      <c r="L36" s="27">
        <v>0</v>
      </c>
      <c r="M36" s="27">
        <v>10</v>
      </c>
      <c r="N36" s="24">
        <f>D36+E36+F36+G36+H36+I36+J36+K36+L36+M36</f>
        <v>48</v>
      </c>
      <c r="O36" s="49">
        <f>N36*S33</f>
        <v>5400.6959999999999</v>
      </c>
      <c r="P36" s="48">
        <v>2350</v>
      </c>
      <c r="Q36" s="82"/>
    </row>
    <row r="37" spans="1:19" ht="22.5" x14ac:dyDescent="0.2">
      <c r="A37" s="42">
        <v>4</v>
      </c>
      <c r="B37" s="71" t="s">
        <v>142</v>
      </c>
      <c r="C37" s="71" t="s">
        <v>57</v>
      </c>
      <c r="D37" s="27">
        <v>0</v>
      </c>
      <c r="E37" s="27">
        <v>5</v>
      </c>
      <c r="F37" s="27">
        <v>3</v>
      </c>
      <c r="G37" s="27">
        <v>5</v>
      </c>
      <c r="H37" s="27">
        <v>2</v>
      </c>
      <c r="I37" s="27">
        <v>5</v>
      </c>
      <c r="J37" s="27">
        <v>0</v>
      </c>
      <c r="K37" s="27">
        <v>1</v>
      </c>
      <c r="L37" s="27">
        <v>0</v>
      </c>
      <c r="M37" s="27">
        <v>5</v>
      </c>
      <c r="N37" s="24">
        <f t="shared" ref="N37:N49" si="2">D37+E37+F37+G37+H37+I37+J37+K37+L37+M37</f>
        <v>26</v>
      </c>
      <c r="O37" s="48">
        <f>N37*S33</f>
        <v>2925.377</v>
      </c>
      <c r="P37" s="48">
        <v>2930</v>
      </c>
      <c r="Q37" s="82"/>
    </row>
    <row r="38" spans="1:19" ht="22.5" x14ac:dyDescent="0.2">
      <c r="A38" s="15">
        <v>5</v>
      </c>
      <c r="B38" s="71" t="s">
        <v>143</v>
      </c>
      <c r="C38" s="71" t="s">
        <v>144</v>
      </c>
      <c r="D38" s="27">
        <v>0</v>
      </c>
      <c r="E38" s="27">
        <v>5</v>
      </c>
      <c r="F38" s="27">
        <v>0</v>
      </c>
      <c r="G38" s="27">
        <v>0</v>
      </c>
      <c r="H38" s="27">
        <v>10</v>
      </c>
      <c r="I38" s="27">
        <v>5</v>
      </c>
      <c r="J38" s="27">
        <v>1</v>
      </c>
      <c r="K38" s="27">
        <v>1</v>
      </c>
      <c r="L38" s="27">
        <v>0</v>
      </c>
      <c r="M38" s="27">
        <v>5</v>
      </c>
      <c r="N38" s="24">
        <f t="shared" si="2"/>
        <v>27</v>
      </c>
      <c r="O38" s="48">
        <f>N38*S33</f>
        <v>3037.8914999999997</v>
      </c>
      <c r="P38" s="48">
        <v>2130</v>
      </c>
      <c r="Q38" s="82"/>
    </row>
    <row r="39" spans="1:19" ht="33.75" x14ac:dyDescent="0.2">
      <c r="A39" s="15">
        <v>6</v>
      </c>
      <c r="B39" s="70" t="s">
        <v>145</v>
      </c>
      <c r="C39" s="70" t="s">
        <v>146</v>
      </c>
      <c r="D39" s="27">
        <v>0</v>
      </c>
      <c r="E39" s="27">
        <v>5</v>
      </c>
      <c r="F39" s="27">
        <v>0</v>
      </c>
      <c r="G39" s="27">
        <v>0</v>
      </c>
      <c r="H39" s="27">
        <v>10</v>
      </c>
      <c r="I39" s="27">
        <v>5</v>
      </c>
      <c r="J39" s="27">
        <v>2</v>
      </c>
      <c r="K39" s="27">
        <v>1</v>
      </c>
      <c r="L39" s="27">
        <v>0</v>
      </c>
      <c r="M39" s="27">
        <v>5</v>
      </c>
      <c r="N39" s="24">
        <f t="shared" si="2"/>
        <v>28</v>
      </c>
      <c r="O39" s="48">
        <f>N39*S33</f>
        <v>3150.4059999999999</v>
      </c>
      <c r="P39" s="48">
        <v>3000</v>
      </c>
      <c r="Q39" s="82"/>
    </row>
    <row r="40" spans="1:19" ht="45" x14ac:dyDescent="0.2">
      <c r="A40" s="42">
        <v>7</v>
      </c>
      <c r="B40" s="70" t="s">
        <v>147</v>
      </c>
      <c r="C40" s="70" t="s">
        <v>148</v>
      </c>
      <c r="D40" s="27">
        <v>0</v>
      </c>
      <c r="E40" s="27">
        <v>5</v>
      </c>
      <c r="F40" s="27">
        <v>0</v>
      </c>
      <c r="G40" s="27">
        <v>0</v>
      </c>
      <c r="H40" s="27">
        <v>6</v>
      </c>
      <c r="I40" s="27">
        <v>5</v>
      </c>
      <c r="J40" s="27">
        <v>0</v>
      </c>
      <c r="K40" s="27">
        <v>0</v>
      </c>
      <c r="L40" s="27">
        <v>0</v>
      </c>
      <c r="M40" s="27">
        <v>5</v>
      </c>
      <c r="N40" s="24">
        <f t="shared" si="2"/>
        <v>21</v>
      </c>
      <c r="O40" s="48">
        <f>N40*S33</f>
        <v>2362.8045000000002</v>
      </c>
      <c r="P40" s="48">
        <v>2370</v>
      </c>
      <c r="Q40" s="82"/>
    </row>
    <row r="41" spans="1:19" ht="22.5" x14ac:dyDescent="0.2">
      <c r="A41" s="42">
        <v>8</v>
      </c>
      <c r="B41" s="70" t="s">
        <v>52</v>
      </c>
      <c r="C41" s="70" t="s">
        <v>149</v>
      </c>
      <c r="D41" s="27">
        <v>0</v>
      </c>
      <c r="E41" s="27">
        <v>10</v>
      </c>
      <c r="F41" s="27">
        <v>0</v>
      </c>
      <c r="G41" s="27">
        <v>7</v>
      </c>
      <c r="H41" s="27">
        <v>10</v>
      </c>
      <c r="I41" s="27">
        <v>5</v>
      </c>
      <c r="J41" s="27">
        <v>0</v>
      </c>
      <c r="K41" s="27">
        <v>6</v>
      </c>
      <c r="L41" s="27">
        <v>0</v>
      </c>
      <c r="M41" s="27">
        <v>10</v>
      </c>
      <c r="N41" s="24">
        <f t="shared" si="2"/>
        <v>48</v>
      </c>
      <c r="O41" s="48">
        <f>N41*S33</f>
        <v>5400.6959999999999</v>
      </c>
      <c r="P41" s="48">
        <f>5400+300</f>
        <v>5700</v>
      </c>
      <c r="Q41" s="82"/>
    </row>
    <row r="42" spans="1:19" ht="22.5" x14ac:dyDescent="0.2">
      <c r="A42" s="15">
        <v>9</v>
      </c>
      <c r="B42" s="70" t="s">
        <v>53</v>
      </c>
      <c r="C42" s="70" t="s">
        <v>150</v>
      </c>
      <c r="D42" s="27">
        <v>0</v>
      </c>
      <c r="E42" s="27">
        <v>10</v>
      </c>
      <c r="F42" s="27">
        <v>5</v>
      </c>
      <c r="G42" s="27">
        <v>0</v>
      </c>
      <c r="H42" s="27">
        <v>6</v>
      </c>
      <c r="I42" s="27">
        <v>10</v>
      </c>
      <c r="J42" s="27">
        <v>2</v>
      </c>
      <c r="K42" s="27">
        <v>3</v>
      </c>
      <c r="L42" s="27">
        <v>0</v>
      </c>
      <c r="M42" s="27">
        <v>10</v>
      </c>
      <c r="N42" s="24">
        <f t="shared" si="2"/>
        <v>46</v>
      </c>
      <c r="O42" s="48">
        <f>N42*S33</f>
        <v>5175.6669999999995</v>
      </c>
      <c r="P42" s="48">
        <f>5180+400</f>
        <v>5580</v>
      </c>
      <c r="Q42" s="82"/>
    </row>
    <row r="43" spans="1:19" ht="22.5" x14ac:dyDescent="0.2">
      <c r="A43" s="15">
        <v>10</v>
      </c>
      <c r="B43" s="70" t="s">
        <v>151</v>
      </c>
      <c r="C43" s="70" t="s">
        <v>152</v>
      </c>
      <c r="D43" s="27">
        <v>0</v>
      </c>
      <c r="E43" s="27">
        <v>10</v>
      </c>
      <c r="F43" s="27">
        <v>0</v>
      </c>
      <c r="G43" s="27">
        <v>0</v>
      </c>
      <c r="H43" s="27">
        <v>2</v>
      </c>
      <c r="I43" s="27">
        <v>10</v>
      </c>
      <c r="J43" s="27">
        <v>2</v>
      </c>
      <c r="K43" s="27">
        <v>0</v>
      </c>
      <c r="L43" s="27">
        <v>0</v>
      </c>
      <c r="M43" s="27">
        <v>7</v>
      </c>
      <c r="N43" s="24">
        <f t="shared" si="2"/>
        <v>31</v>
      </c>
      <c r="O43" s="48">
        <f>N43*S33</f>
        <v>3487.9494999999997</v>
      </c>
      <c r="P43" s="48">
        <v>2700</v>
      </c>
      <c r="Q43" s="83"/>
    </row>
    <row r="44" spans="1:19" ht="22.5" x14ac:dyDescent="0.2">
      <c r="A44" s="42">
        <v>11</v>
      </c>
      <c r="B44" s="70" t="s">
        <v>54</v>
      </c>
      <c r="C44" s="70" t="s">
        <v>153</v>
      </c>
      <c r="D44" s="27">
        <v>0</v>
      </c>
      <c r="E44" s="27">
        <v>5</v>
      </c>
      <c r="F44" s="27">
        <v>0</v>
      </c>
      <c r="G44" s="27">
        <v>5</v>
      </c>
      <c r="H44" s="27">
        <v>10</v>
      </c>
      <c r="I44" s="27">
        <v>5</v>
      </c>
      <c r="J44" s="27">
        <v>2</v>
      </c>
      <c r="K44" s="27">
        <v>0</v>
      </c>
      <c r="L44" s="27">
        <v>0</v>
      </c>
      <c r="M44" s="27">
        <v>5</v>
      </c>
      <c r="N44" s="24">
        <f t="shared" si="2"/>
        <v>32</v>
      </c>
      <c r="O44" s="48">
        <f>N44*S33</f>
        <v>3600.4639999999999</v>
      </c>
      <c r="P44" s="48">
        <v>3300</v>
      </c>
      <c r="Q44" s="83"/>
    </row>
    <row r="45" spans="1:19" ht="22.5" x14ac:dyDescent="0.2">
      <c r="A45" s="42">
        <v>12</v>
      </c>
      <c r="B45" s="70" t="s">
        <v>49</v>
      </c>
      <c r="C45" s="70" t="s">
        <v>50</v>
      </c>
      <c r="D45" s="27">
        <v>0</v>
      </c>
      <c r="E45" s="27">
        <v>10</v>
      </c>
      <c r="F45" s="27">
        <v>0</v>
      </c>
      <c r="G45" s="27">
        <v>0</v>
      </c>
      <c r="H45" s="27">
        <v>6</v>
      </c>
      <c r="I45" s="27">
        <v>10</v>
      </c>
      <c r="J45" s="27">
        <v>0</v>
      </c>
      <c r="K45" s="27">
        <v>3</v>
      </c>
      <c r="L45" s="27">
        <v>0</v>
      </c>
      <c r="M45" s="27">
        <v>8</v>
      </c>
      <c r="N45" s="24">
        <f t="shared" si="2"/>
        <v>37</v>
      </c>
      <c r="O45" s="48">
        <f>N45*S33</f>
        <v>4163.0365000000002</v>
      </c>
      <c r="P45" s="48">
        <v>4170</v>
      </c>
      <c r="Q45" s="83"/>
    </row>
    <row r="46" spans="1:19" ht="22.5" x14ac:dyDescent="0.2">
      <c r="A46" s="15">
        <v>13</v>
      </c>
      <c r="B46" s="70" t="s">
        <v>154</v>
      </c>
      <c r="C46" s="70" t="s">
        <v>155</v>
      </c>
      <c r="D46" s="27">
        <v>0</v>
      </c>
      <c r="E46" s="27">
        <v>10</v>
      </c>
      <c r="F46" s="27">
        <v>0</v>
      </c>
      <c r="G46" s="27">
        <v>0</v>
      </c>
      <c r="H46" s="27">
        <v>2</v>
      </c>
      <c r="I46" s="27">
        <v>10</v>
      </c>
      <c r="J46" s="27">
        <v>1</v>
      </c>
      <c r="K46" s="27">
        <v>1</v>
      </c>
      <c r="L46" s="27">
        <v>0</v>
      </c>
      <c r="M46" s="27">
        <v>10</v>
      </c>
      <c r="N46" s="24">
        <f t="shared" si="2"/>
        <v>34</v>
      </c>
      <c r="O46" s="48">
        <f>N46*S33</f>
        <v>3825.4929999999999</v>
      </c>
      <c r="P46" s="48">
        <v>3830</v>
      </c>
      <c r="Q46" s="82"/>
    </row>
    <row r="47" spans="1:19" ht="33.75" x14ac:dyDescent="0.2">
      <c r="A47" s="15">
        <v>14</v>
      </c>
      <c r="B47" s="70" t="s">
        <v>67</v>
      </c>
      <c r="C47" s="71" t="s">
        <v>156</v>
      </c>
      <c r="D47" s="27">
        <v>0</v>
      </c>
      <c r="E47" s="27">
        <v>5</v>
      </c>
      <c r="F47" s="27">
        <v>0</v>
      </c>
      <c r="G47" s="27">
        <v>0</v>
      </c>
      <c r="H47" s="27">
        <v>10</v>
      </c>
      <c r="I47" s="27">
        <v>5</v>
      </c>
      <c r="J47" s="27">
        <v>1</v>
      </c>
      <c r="K47" s="27">
        <v>1</v>
      </c>
      <c r="L47" s="27">
        <v>0</v>
      </c>
      <c r="M47" s="27">
        <v>10</v>
      </c>
      <c r="N47" s="24">
        <f t="shared" si="2"/>
        <v>32</v>
      </c>
      <c r="O47" s="48">
        <f>N47*S33</f>
        <v>3600.4639999999999</v>
      </c>
      <c r="P47" s="48">
        <v>3600</v>
      </c>
      <c r="Q47" s="82"/>
    </row>
    <row r="48" spans="1:19" ht="22.5" x14ac:dyDescent="0.2">
      <c r="A48" s="42">
        <v>15</v>
      </c>
      <c r="B48" s="70" t="s">
        <v>158</v>
      </c>
      <c r="C48" s="71" t="s">
        <v>159</v>
      </c>
      <c r="D48" s="27">
        <v>0</v>
      </c>
      <c r="E48" s="27">
        <v>10</v>
      </c>
      <c r="F48" s="27">
        <v>0</v>
      </c>
      <c r="G48" s="27">
        <v>0</v>
      </c>
      <c r="H48" s="27">
        <v>10</v>
      </c>
      <c r="I48" s="27">
        <v>5</v>
      </c>
      <c r="J48" s="27">
        <v>1</v>
      </c>
      <c r="K48" s="27">
        <v>1</v>
      </c>
      <c r="L48" s="27">
        <v>0</v>
      </c>
      <c r="M48" s="27">
        <v>2</v>
      </c>
      <c r="N48" s="24">
        <f t="shared" si="2"/>
        <v>29</v>
      </c>
      <c r="O48" s="48">
        <f>N48*S33</f>
        <v>3262.9205000000002</v>
      </c>
      <c r="P48" s="48">
        <v>3270</v>
      </c>
      <c r="Q48" s="82"/>
    </row>
    <row r="49" spans="1:20" ht="22.5" x14ac:dyDescent="0.2">
      <c r="A49" s="42">
        <v>16</v>
      </c>
      <c r="B49" s="70" t="s">
        <v>160</v>
      </c>
      <c r="C49" s="71" t="s">
        <v>72</v>
      </c>
      <c r="D49" s="27">
        <v>0</v>
      </c>
      <c r="E49" s="27">
        <v>10</v>
      </c>
      <c r="F49" s="27">
        <f>3+4</f>
        <v>7</v>
      </c>
      <c r="G49" s="27">
        <v>7</v>
      </c>
      <c r="H49" s="27">
        <v>10</v>
      </c>
      <c r="I49" s="27">
        <v>10</v>
      </c>
      <c r="J49" s="27">
        <v>1</v>
      </c>
      <c r="K49" s="27">
        <v>3</v>
      </c>
      <c r="L49" s="27">
        <v>0</v>
      </c>
      <c r="M49" s="27">
        <v>10</v>
      </c>
      <c r="N49" s="24">
        <f t="shared" si="2"/>
        <v>58</v>
      </c>
      <c r="O49" s="48">
        <f>N49*S33</f>
        <v>6525.8410000000003</v>
      </c>
      <c r="P49" s="48">
        <f>6500+1000</f>
        <v>7500</v>
      </c>
      <c r="Q49" s="83"/>
      <c r="R49" s="25"/>
    </row>
    <row r="50" spans="1:20" x14ac:dyDescent="0.2">
      <c r="N50" s="25">
        <f>SUM(N35:N49)</f>
        <v>536</v>
      </c>
      <c r="O50" s="88">
        <f>SUM(O35:O49)</f>
        <v>60307.772000000004</v>
      </c>
      <c r="P50" s="88">
        <f>SUM(P35:P49)</f>
        <v>56820</v>
      </c>
      <c r="R50" s="58"/>
    </row>
    <row r="51" spans="1:20" x14ac:dyDescent="0.2">
      <c r="O51" s="88"/>
    </row>
    <row r="52" spans="1:20" ht="15.75" customHeight="1" x14ac:dyDescent="0.2">
      <c r="B52" s="99" t="s">
        <v>334</v>
      </c>
      <c r="C52" s="99"/>
      <c r="D52" s="99"/>
      <c r="E52" s="99"/>
      <c r="O52" s="88"/>
      <c r="R52" s="58"/>
      <c r="T52" s="58"/>
    </row>
    <row r="53" spans="1:20" ht="18" customHeight="1" x14ac:dyDescent="0.2">
      <c r="B53" s="99"/>
      <c r="C53" s="99"/>
      <c r="D53" s="99"/>
      <c r="E53" s="99"/>
      <c r="M53" s="6" t="s">
        <v>74</v>
      </c>
    </row>
    <row r="54" spans="1:20" ht="27.75" customHeight="1" x14ac:dyDescent="0.2">
      <c r="B54" s="99"/>
      <c r="C54" s="99"/>
      <c r="D54" s="99"/>
      <c r="E54" s="99"/>
      <c r="M54" s="6" t="s">
        <v>284</v>
      </c>
      <c r="R54" s="58"/>
      <c r="T54" s="58"/>
    </row>
    <row r="55" spans="1:20" ht="16.5" customHeight="1" x14ac:dyDescent="0.2">
      <c r="B55" s="99"/>
      <c r="C55" s="99"/>
      <c r="D55" s="99"/>
      <c r="E55" s="99"/>
      <c r="M55" s="6" t="s">
        <v>75</v>
      </c>
    </row>
    <row r="56" spans="1:20" ht="16.5" customHeight="1" x14ac:dyDescent="0.2">
      <c r="B56" s="99"/>
      <c r="C56" s="99"/>
      <c r="D56" s="99"/>
      <c r="E56" s="99"/>
      <c r="M56" s="6" t="s">
        <v>285</v>
      </c>
    </row>
    <row r="57" spans="1:20" ht="16.5" customHeight="1" x14ac:dyDescent="0.2">
      <c r="M57" s="6" t="s">
        <v>286</v>
      </c>
    </row>
    <row r="58" spans="1:20" ht="15.75" customHeight="1" x14ac:dyDescent="0.2">
      <c r="A58" s="19"/>
      <c r="B58" s="25" t="s">
        <v>325</v>
      </c>
      <c r="M58" s="6" t="s">
        <v>287</v>
      </c>
    </row>
    <row r="59" spans="1:20" ht="16.5" customHeight="1" x14ac:dyDescent="0.2">
      <c r="A59" s="19"/>
      <c r="M59" s="6" t="s">
        <v>290</v>
      </c>
    </row>
    <row r="60" spans="1:20" ht="15.75" customHeight="1" x14ac:dyDescent="0.2">
      <c r="A60" s="19"/>
      <c r="M60" s="6" t="s">
        <v>289</v>
      </c>
    </row>
    <row r="61" spans="1:20" x14ac:dyDescent="0.2">
      <c r="A61" s="19"/>
      <c r="M61" s="6"/>
    </row>
    <row r="62" spans="1:20" x14ac:dyDescent="0.2">
      <c r="A62" s="19"/>
      <c r="M62" s="6"/>
    </row>
    <row r="63" spans="1:20" x14ac:dyDescent="0.2">
      <c r="A63" s="19"/>
    </row>
    <row r="64" spans="1:20" x14ac:dyDescent="0.2">
      <c r="A64" s="19"/>
    </row>
    <row r="65" spans="1:1" x14ac:dyDescent="0.2">
      <c r="A65" s="19"/>
    </row>
    <row r="66" spans="1:1" x14ac:dyDescent="0.2">
      <c r="A66" s="19"/>
    </row>
    <row r="67" spans="1:1" x14ac:dyDescent="0.2">
      <c r="A67" s="19"/>
    </row>
    <row r="68" spans="1:1" x14ac:dyDescent="0.2">
      <c r="A68" s="19"/>
    </row>
    <row r="69" spans="1:1" x14ac:dyDescent="0.2">
      <c r="A69" s="19"/>
    </row>
    <row r="70" spans="1:1" x14ac:dyDescent="0.2">
      <c r="A70" s="19"/>
    </row>
    <row r="71" spans="1:1" x14ac:dyDescent="0.2">
      <c r="A71" s="19"/>
    </row>
    <row r="72" spans="1:1" x14ac:dyDescent="0.2">
      <c r="A72" s="19"/>
    </row>
    <row r="73" spans="1:1" x14ac:dyDescent="0.2">
      <c r="A73" s="19"/>
    </row>
    <row r="74" spans="1:1" x14ac:dyDescent="0.2">
      <c r="A74" s="19"/>
    </row>
    <row r="75" spans="1:1" x14ac:dyDescent="0.2">
      <c r="A75" s="19"/>
    </row>
    <row r="76" spans="1:1" x14ac:dyDescent="0.2">
      <c r="A76" s="19"/>
    </row>
    <row r="77" spans="1:1" x14ac:dyDescent="0.2">
      <c r="A77" s="19"/>
    </row>
    <row r="78" spans="1:1" x14ac:dyDescent="0.2">
      <c r="A78" s="19"/>
    </row>
    <row r="79" spans="1:1" x14ac:dyDescent="0.2">
      <c r="A79" s="19"/>
    </row>
    <row r="80" spans="1:1" x14ac:dyDescent="0.2">
      <c r="A80" s="19"/>
    </row>
    <row r="81" spans="1:1" x14ac:dyDescent="0.2">
      <c r="A81" s="19"/>
    </row>
    <row r="82" spans="1:1" x14ac:dyDescent="0.2">
      <c r="A82" s="19"/>
    </row>
    <row r="83" spans="1:1" x14ac:dyDescent="0.2">
      <c r="A83" s="19"/>
    </row>
    <row r="84" spans="1:1" x14ac:dyDescent="0.2">
      <c r="A84" s="19"/>
    </row>
    <row r="85" spans="1:1" x14ac:dyDescent="0.2">
      <c r="A85" s="19"/>
    </row>
    <row r="86" spans="1:1" x14ac:dyDescent="0.2">
      <c r="A86" s="19"/>
    </row>
    <row r="87" spans="1:1" x14ac:dyDescent="0.2">
      <c r="A87" s="19"/>
    </row>
    <row r="88" spans="1:1" x14ac:dyDescent="0.2">
      <c r="A88" s="19"/>
    </row>
    <row r="89" spans="1:1" x14ac:dyDescent="0.2">
      <c r="A89" s="19"/>
    </row>
    <row r="90" spans="1:1" x14ac:dyDescent="0.2">
      <c r="A90" s="19"/>
    </row>
    <row r="91" spans="1:1" x14ac:dyDescent="0.2">
      <c r="A91" s="19"/>
    </row>
    <row r="92" spans="1:1" x14ac:dyDescent="0.2">
      <c r="A92" s="19"/>
    </row>
    <row r="93" spans="1:1" x14ac:dyDescent="0.2">
      <c r="A93" s="19"/>
    </row>
    <row r="94" spans="1:1" x14ac:dyDescent="0.2">
      <c r="A94" s="19"/>
    </row>
    <row r="95" spans="1:1" x14ac:dyDescent="0.2">
      <c r="A95" s="19"/>
    </row>
  </sheetData>
  <mergeCells count="5">
    <mergeCell ref="A33:O33"/>
    <mergeCell ref="A1:O1"/>
    <mergeCell ref="A2:O2"/>
    <mergeCell ref="B24:E28"/>
    <mergeCell ref="B52:E56"/>
  </mergeCells>
  <pageMargins left="0" right="0" top="0" bottom="0"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topLeftCell="A10" workbookViewId="0">
      <selection activeCell="C13" sqref="C13"/>
    </sheetView>
  </sheetViews>
  <sheetFormatPr defaultRowHeight="11.25" x14ac:dyDescent="0.2"/>
  <cols>
    <col min="1" max="1" width="4.140625" style="29" customWidth="1"/>
    <col min="2" max="2" width="18.28515625" style="6" customWidth="1"/>
    <col min="3" max="3" width="21.5703125" style="6" customWidth="1"/>
    <col min="4" max="4" width="4" style="6" customWidth="1"/>
    <col min="5" max="5" width="4.140625" style="6" customWidth="1"/>
    <col min="6" max="6" width="5.5703125" style="6" customWidth="1"/>
    <col min="7" max="7" width="4.140625" style="6" customWidth="1"/>
    <col min="8" max="8" width="5.42578125" style="6" customWidth="1"/>
    <col min="9" max="9" width="5.5703125" style="6" customWidth="1"/>
    <col min="10" max="10" width="6.7109375" style="6" customWidth="1"/>
    <col min="11" max="11" width="4.85546875" style="6" customWidth="1"/>
    <col min="12" max="12" width="4.5703125" style="6" customWidth="1"/>
    <col min="13" max="13" width="7.85546875" style="6" customWidth="1"/>
    <col min="14" max="14" width="5.85546875" style="6" customWidth="1"/>
    <col min="15" max="15" width="8.28515625" style="6" customWidth="1"/>
    <col min="16" max="16" width="9" style="45" customWidth="1"/>
    <col min="17" max="17" width="10.42578125" style="45" customWidth="1"/>
    <col min="18" max="18" width="11.7109375" style="6" customWidth="1"/>
    <col min="19" max="16384" width="9.140625" style="6"/>
  </cols>
  <sheetData>
    <row r="1" spans="1:19" x14ac:dyDescent="0.2">
      <c r="A1" s="103" t="s">
        <v>33</v>
      </c>
      <c r="B1" s="103"/>
      <c r="C1" s="103"/>
      <c r="D1" s="103"/>
      <c r="E1" s="103"/>
      <c r="F1" s="103"/>
      <c r="G1" s="103"/>
      <c r="H1" s="103"/>
      <c r="I1" s="103"/>
      <c r="J1" s="103"/>
      <c r="K1" s="103"/>
      <c r="L1" s="103"/>
      <c r="M1" s="103"/>
      <c r="N1" s="103"/>
      <c r="O1" s="103"/>
      <c r="Q1" s="45" t="s">
        <v>319</v>
      </c>
      <c r="S1" s="6">
        <v>394.53</v>
      </c>
    </row>
    <row r="2" spans="1:19" ht="15" customHeight="1" x14ac:dyDescent="0.2">
      <c r="A2" s="114" t="s">
        <v>0</v>
      </c>
      <c r="B2" s="114"/>
      <c r="C2" s="114"/>
      <c r="D2" s="114"/>
      <c r="E2" s="114"/>
      <c r="F2" s="114"/>
      <c r="G2" s="114"/>
      <c r="H2" s="114"/>
      <c r="I2" s="114"/>
      <c r="J2" s="114"/>
      <c r="K2" s="114"/>
      <c r="L2" s="114"/>
      <c r="M2" s="114"/>
      <c r="N2" s="114"/>
      <c r="O2" s="114"/>
    </row>
    <row r="3" spans="1:19" s="11" customFormat="1" ht="96" customHeight="1" x14ac:dyDescent="0.15">
      <c r="A3" s="20" t="s">
        <v>13</v>
      </c>
      <c r="B3" s="8" t="s">
        <v>1</v>
      </c>
      <c r="C3" s="8" t="s">
        <v>16</v>
      </c>
      <c r="D3" s="9" t="s">
        <v>2</v>
      </c>
      <c r="E3" s="10" t="s">
        <v>3</v>
      </c>
      <c r="F3" s="9" t="s">
        <v>4</v>
      </c>
      <c r="G3" s="9" t="s">
        <v>5</v>
      </c>
      <c r="H3" s="9" t="s">
        <v>6</v>
      </c>
      <c r="I3" s="9" t="s">
        <v>7</v>
      </c>
      <c r="J3" s="9" t="s">
        <v>8</v>
      </c>
      <c r="K3" s="9" t="s">
        <v>9</v>
      </c>
      <c r="L3" s="9" t="s">
        <v>10</v>
      </c>
      <c r="M3" s="9" t="s">
        <v>11</v>
      </c>
      <c r="N3" s="9" t="s">
        <v>12</v>
      </c>
      <c r="O3" s="10" t="s">
        <v>14</v>
      </c>
      <c r="P3" s="46" t="s">
        <v>81</v>
      </c>
      <c r="Q3" s="46" t="s">
        <v>58</v>
      </c>
      <c r="R3" s="18" t="s">
        <v>73</v>
      </c>
    </row>
    <row r="4" spans="1:19" ht="36" customHeight="1" x14ac:dyDescent="0.2">
      <c r="A4" s="42">
        <v>1</v>
      </c>
      <c r="B4" s="70" t="s">
        <v>161</v>
      </c>
      <c r="C4" s="70" t="s">
        <v>162</v>
      </c>
      <c r="D4" s="12">
        <v>0</v>
      </c>
      <c r="E4" s="12">
        <v>10</v>
      </c>
      <c r="F4" s="12">
        <v>4</v>
      </c>
      <c r="G4" s="12">
        <v>7</v>
      </c>
      <c r="H4" s="12">
        <v>2</v>
      </c>
      <c r="I4" s="12">
        <v>10</v>
      </c>
      <c r="J4" s="12">
        <v>10</v>
      </c>
      <c r="K4" s="12">
        <v>2</v>
      </c>
      <c r="L4" s="12">
        <v>1</v>
      </c>
      <c r="M4" s="12">
        <v>0</v>
      </c>
      <c r="N4" s="12">
        <v>10</v>
      </c>
      <c r="O4" s="18">
        <f>D4+E4+F4+G4+H4+I4+J4+K4+L4+M4+N4</f>
        <v>56</v>
      </c>
      <c r="P4" s="49">
        <f>O4*394.53</f>
        <v>22093.68</v>
      </c>
      <c r="Q4" s="49">
        <v>8000</v>
      </c>
      <c r="R4" s="80"/>
    </row>
    <row r="5" spans="1:19" ht="26.25" customHeight="1" x14ac:dyDescent="0.2">
      <c r="A5" s="42">
        <v>2</v>
      </c>
      <c r="B5" s="71" t="s">
        <v>163</v>
      </c>
      <c r="C5" s="71" t="s">
        <v>164</v>
      </c>
      <c r="D5" s="12">
        <v>0</v>
      </c>
      <c r="E5" s="12">
        <v>10</v>
      </c>
      <c r="F5" s="12">
        <v>8</v>
      </c>
      <c r="G5" s="12">
        <v>7</v>
      </c>
      <c r="H5" s="12">
        <v>2</v>
      </c>
      <c r="I5" s="12">
        <v>10</v>
      </c>
      <c r="J5" s="12">
        <v>10</v>
      </c>
      <c r="K5" s="12">
        <v>2</v>
      </c>
      <c r="L5" s="12">
        <v>1</v>
      </c>
      <c r="M5" s="12">
        <v>0</v>
      </c>
      <c r="N5" s="12">
        <v>10</v>
      </c>
      <c r="O5" s="18">
        <f t="shared" ref="O5:O6" si="0">D5+E5+F5+G5+H5+I5+J5+K5+L5+M5+N5</f>
        <v>60</v>
      </c>
      <c r="P5" s="49">
        <f t="shared" ref="P5:P6" si="1">O5*394.53</f>
        <v>23671.8</v>
      </c>
      <c r="Q5" s="49">
        <v>13680</v>
      </c>
      <c r="R5" s="80"/>
    </row>
    <row r="6" spans="1:19" ht="37.5" customHeight="1" x14ac:dyDescent="0.2">
      <c r="A6" s="42">
        <v>3</v>
      </c>
      <c r="B6" s="70" t="s">
        <v>165</v>
      </c>
      <c r="C6" s="70" t="s">
        <v>166</v>
      </c>
      <c r="D6" s="12">
        <v>0</v>
      </c>
      <c r="E6" s="12">
        <v>5</v>
      </c>
      <c r="F6" s="12">
        <v>0</v>
      </c>
      <c r="G6" s="12">
        <v>0</v>
      </c>
      <c r="H6" s="12">
        <v>2</v>
      </c>
      <c r="I6" s="12">
        <v>10</v>
      </c>
      <c r="J6" s="12">
        <v>10</v>
      </c>
      <c r="K6" s="12">
        <v>2</v>
      </c>
      <c r="L6" s="12">
        <v>1</v>
      </c>
      <c r="M6" s="12">
        <v>0</v>
      </c>
      <c r="N6" s="12">
        <v>7</v>
      </c>
      <c r="O6" s="18">
        <f t="shared" si="0"/>
        <v>37</v>
      </c>
      <c r="P6" s="49">
        <f t="shared" si="1"/>
        <v>14597.609999999999</v>
      </c>
      <c r="Q6" s="49">
        <v>7250</v>
      </c>
      <c r="R6" s="53"/>
    </row>
    <row r="7" spans="1:19" s="13" customFormat="1" ht="16.5" customHeight="1" x14ac:dyDescent="0.2">
      <c r="A7" s="41"/>
      <c r="P7" s="50">
        <f>SUM(P4:P6)</f>
        <v>60363.09</v>
      </c>
      <c r="Q7" s="50">
        <f>SUM(Q4:Q6)</f>
        <v>28930</v>
      </c>
    </row>
    <row r="8" spans="1:19" ht="12" customHeight="1" x14ac:dyDescent="0.2">
      <c r="B8" s="99" t="s">
        <v>82</v>
      </c>
      <c r="C8" s="99"/>
      <c r="D8" s="99"/>
      <c r="E8" s="99"/>
    </row>
    <row r="9" spans="1:19" ht="30" customHeight="1" x14ac:dyDescent="0.2">
      <c r="B9" s="99"/>
      <c r="C9" s="99"/>
      <c r="D9" s="99"/>
      <c r="E9" s="99"/>
      <c r="M9" s="35" t="s">
        <v>74</v>
      </c>
    </row>
    <row r="10" spans="1:19" ht="23.25" customHeight="1" x14ac:dyDescent="0.2">
      <c r="B10" s="99"/>
      <c r="C10" s="99"/>
      <c r="D10" s="99"/>
      <c r="E10" s="99"/>
      <c r="M10" s="35" t="s">
        <v>284</v>
      </c>
    </row>
    <row r="11" spans="1:19" ht="15.75" customHeight="1" x14ac:dyDescent="0.2">
      <c r="M11" s="35" t="s">
        <v>75</v>
      </c>
    </row>
    <row r="12" spans="1:19" ht="16.5" customHeight="1" x14ac:dyDescent="0.2">
      <c r="M12" s="35" t="s">
        <v>285</v>
      </c>
    </row>
    <row r="13" spans="1:19" ht="16.5" customHeight="1" x14ac:dyDescent="0.2">
      <c r="M13" s="35" t="s">
        <v>286</v>
      </c>
    </row>
    <row r="14" spans="1:19" ht="18" customHeight="1" x14ac:dyDescent="0.2">
      <c r="B14" s="25" t="s">
        <v>325</v>
      </c>
      <c r="M14" s="35" t="s">
        <v>287</v>
      </c>
    </row>
    <row r="15" spans="1:19" ht="16.5" customHeight="1" x14ac:dyDescent="0.2">
      <c r="A15" s="19"/>
      <c r="M15" s="35" t="s">
        <v>288</v>
      </c>
    </row>
    <row r="16" spans="1:19" ht="16.5" customHeight="1" x14ac:dyDescent="0.2">
      <c r="A16" s="19"/>
      <c r="M16" s="35" t="s">
        <v>289</v>
      </c>
    </row>
    <row r="17" spans="1:18" ht="15" customHeight="1" x14ac:dyDescent="0.2">
      <c r="A17" s="19"/>
      <c r="M17" s="35"/>
    </row>
    <row r="18" spans="1:18" s="13" customFormat="1" x14ac:dyDescent="0.2">
      <c r="A18" s="113" t="s">
        <v>15</v>
      </c>
      <c r="B18" s="113"/>
      <c r="C18" s="113"/>
      <c r="D18" s="113"/>
      <c r="E18" s="113"/>
      <c r="F18" s="113"/>
      <c r="G18" s="113"/>
      <c r="H18" s="113"/>
      <c r="I18" s="113"/>
      <c r="J18" s="113"/>
      <c r="K18" s="113"/>
      <c r="L18" s="113"/>
      <c r="M18" s="113"/>
      <c r="N18" s="113"/>
      <c r="O18" s="113"/>
      <c r="P18" s="57"/>
      <c r="Q18" s="57"/>
    </row>
    <row r="19" spans="1:18" s="11" customFormat="1" ht="99.75" customHeight="1" x14ac:dyDescent="0.15">
      <c r="A19" s="20" t="s">
        <v>13</v>
      </c>
      <c r="B19" s="8" t="s">
        <v>1</v>
      </c>
      <c r="C19" s="8" t="s">
        <v>16</v>
      </c>
      <c r="D19" s="9" t="s">
        <v>2</v>
      </c>
      <c r="E19" s="10" t="s">
        <v>3</v>
      </c>
      <c r="F19" s="9" t="s">
        <v>4</v>
      </c>
      <c r="G19" s="9" t="s">
        <v>5</v>
      </c>
      <c r="H19" s="9" t="s">
        <v>6</v>
      </c>
      <c r="I19" s="9" t="s">
        <v>8</v>
      </c>
      <c r="J19" s="9" t="s">
        <v>9</v>
      </c>
      <c r="K19" s="9" t="s">
        <v>10</v>
      </c>
      <c r="L19" s="9" t="s">
        <v>11</v>
      </c>
      <c r="M19" s="9" t="s">
        <v>12</v>
      </c>
      <c r="N19" s="10" t="s">
        <v>14</v>
      </c>
      <c r="O19" s="46" t="s">
        <v>81</v>
      </c>
      <c r="P19" s="46" t="s">
        <v>58</v>
      </c>
      <c r="Q19" s="18" t="s">
        <v>73</v>
      </c>
    </row>
    <row r="20" spans="1:18" ht="22.5" x14ac:dyDescent="0.2">
      <c r="A20" s="42">
        <v>1</v>
      </c>
      <c r="B20" s="70" t="s">
        <v>167</v>
      </c>
      <c r="C20" s="70" t="s">
        <v>168</v>
      </c>
      <c r="D20" s="12">
        <v>0</v>
      </c>
      <c r="E20" s="12">
        <v>10</v>
      </c>
      <c r="F20" s="12">
        <v>6</v>
      </c>
      <c r="G20" s="12">
        <v>0</v>
      </c>
      <c r="H20" s="12">
        <v>2</v>
      </c>
      <c r="I20" s="12">
        <v>10</v>
      </c>
      <c r="J20" s="12">
        <v>0</v>
      </c>
      <c r="K20" s="12">
        <v>1</v>
      </c>
      <c r="L20" s="12">
        <v>0</v>
      </c>
      <c r="M20" s="12">
        <v>7</v>
      </c>
      <c r="N20" s="18">
        <f t="shared" ref="N20" si="2">D20+E20+F20+G20+H20+I20+J20+K20+L20+M20</f>
        <v>36</v>
      </c>
      <c r="O20" s="49">
        <f>N20*394.53</f>
        <v>14203.079999999998</v>
      </c>
      <c r="P20" s="49">
        <v>5500</v>
      </c>
      <c r="Q20" s="53"/>
    </row>
    <row r="21" spans="1:18" x14ac:dyDescent="0.2">
      <c r="O21" s="94">
        <f>SUM(O20)</f>
        <v>14203.079999999998</v>
      </c>
      <c r="P21" s="94">
        <f>SUM(P20)</f>
        <v>5500</v>
      </c>
      <c r="R21" s="45"/>
    </row>
    <row r="22" spans="1:18" ht="24.75" customHeight="1" x14ac:dyDescent="0.2">
      <c r="B22" s="99" t="s">
        <v>82</v>
      </c>
      <c r="C22" s="99"/>
      <c r="D22" s="99"/>
      <c r="E22" s="99"/>
      <c r="R22" s="45"/>
    </row>
    <row r="23" spans="1:18" ht="30" customHeight="1" x14ac:dyDescent="0.2">
      <c r="B23" s="99"/>
      <c r="C23" s="99"/>
      <c r="D23" s="99"/>
      <c r="E23" s="99"/>
      <c r="M23" s="35" t="s">
        <v>74</v>
      </c>
    </row>
    <row r="24" spans="1:18" ht="23.25" customHeight="1" x14ac:dyDescent="0.2">
      <c r="B24" s="99"/>
      <c r="C24" s="99"/>
      <c r="D24" s="99"/>
      <c r="E24" s="99"/>
      <c r="M24" s="35" t="s">
        <v>284</v>
      </c>
    </row>
    <row r="25" spans="1:18" x14ac:dyDescent="0.2">
      <c r="M25" s="35" t="s">
        <v>75</v>
      </c>
    </row>
    <row r="26" spans="1:18" x14ac:dyDescent="0.2">
      <c r="M26" s="35" t="s">
        <v>285</v>
      </c>
    </row>
    <row r="27" spans="1:18" x14ac:dyDescent="0.2">
      <c r="M27" s="35" t="s">
        <v>286</v>
      </c>
    </row>
    <row r="28" spans="1:18" x14ac:dyDescent="0.2">
      <c r="B28" s="25" t="s">
        <v>325</v>
      </c>
      <c r="M28" s="35" t="s">
        <v>287</v>
      </c>
    </row>
    <row r="29" spans="1:18" x14ac:dyDescent="0.2">
      <c r="A29" s="19"/>
      <c r="M29" s="35" t="s">
        <v>288</v>
      </c>
    </row>
    <row r="30" spans="1:18" x14ac:dyDescent="0.2">
      <c r="A30" s="19"/>
      <c r="M30" s="35" t="s">
        <v>289</v>
      </c>
    </row>
    <row r="31" spans="1:18" x14ac:dyDescent="0.2">
      <c r="A31" s="19"/>
      <c r="M31" s="35"/>
    </row>
    <row r="32" spans="1:18" x14ac:dyDescent="0.2">
      <c r="A32" s="19"/>
      <c r="M32" s="35"/>
    </row>
    <row r="33" spans="1:1" x14ac:dyDescent="0.2">
      <c r="A33" s="19"/>
    </row>
    <row r="34" spans="1:1" x14ac:dyDescent="0.2">
      <c r="A34" s="19"/>
    </row>
    <row r="35" spans="1:1" x14ac:dyDescent="0.2">
      <c r="A35" s="19"/>
    </row>
    <row r="36" spans="1:1" x14ac:dyDescent="0.2">
      <c r="A36" s="19"/>
    </row>
    <row r="37" spans="1:1" x14ac:dyDescent="0.2">
      <c r="A37" s="19"/>
    </row>
    <row r="38" spans="1:1" x14ac:dyDescent="0.2">
      <c r="A38" s="19"/>
    </row>
    <row r="39" spans="1:1" x14ac:dyDescent="0.2">
      <c r="A39" s="19"/>
    </row>
    <row r="40" spans="1:1" x14ac:dyDescent="0.2">
      <c r="A40" s="19"/>
    </row>
    <row r="41" spans="1:1" x14ac:dyDescent="0.2">
      <c r="A41" s="19"/>
    </row>
    <row r="42" spans="1:1" x14ac:dyDescent="0.2">
      <c r="A42" s="19"/>
    </row>
    <row r="43" spans="1:1" x14ac:dyDescent="0.2">
      <c r="A43" s="19"/>
    </row>
    <row r="44" spans="1:1" x14ac:dyDescent="0.2">
      <c r="A44" s="19"/>
    </row>
    <row r="45" spans="1:1" x14ac:dyDescent="0.2">
      <c r="A45" s="19"/>
    </row>
    <row r="46" spans="1:1" x14ac:dyDescent="0.2">
      <c r="A46" s="19"/>
    </row>
    <row r="47" spans="1:1" x14ac:dyDescent="0.2">
      <c r="A47" s="19"/>
    </row>
    <row r="48" spans="1:1" x14ac:dyDescent="0.2">
      <c r="A48" s="19"/>
    </row>
    <row r="49" spans="1:1" x14ac:dyDescent="0.2">
      <c r="A49" s="19"/>
    </row>
    <row r="50" spans="1:1" x14ac:dyDescent="0.2">
      <c r="A50" s="19"/>
    </row>
    <row r="51" spans="1:1" x14ac:dyDescent="0.2">
      <c r="A51" s="19"/>
    </row>
    <row r="52" spans="1:1" x14ac:dyDescent="0.2">
      <c r="A52" s="19"/>
    </row>
    <row r="53" spans="1:1" x14ac:dyDescent="0.2">
      <c r="A53" s="19"/>
    </row>
    <row r="54" spans="1:1" x14ac:dyDescent="0.2">
      <c r="A54" s="19"/>
    </row>
    <row r="55" spans="1:1" x14ac:dyDescent="0.2">
      <c r="A55" s="19"/>
    </row>
    <row r="56" spans="1:1" x14ac:dyDescent="0.2">
      <c r="A56" s="19"/>
    </row>
    <row r="57" spans="1:1" x14ac:dyDescent="0.2">
      <c r="A57" s="19"/>
    </row>
    <row r="58" spans="1:1" x14ac:dyDescent="0.2">
      <c r="A58" s="19"/>
    </row>
    <row r="59" spans="1:1" x14ac:dyDescent="0.2">
      <c r="A59" s="19"/>
    </row>
    <row r="60" spans="1:1" x14ac:dyDescent="0.2">
      <c r="A60" s="19"/>
    </row>
    <row r="61" spans="1:1" x14ac:dyDescent="0.2">
      <c r="A61" s="19"/>
    </row>
    <row r="62" spans="1:1" x14ac:dyDescent="0.2">
      <c r="A62" s="19"/>
    </row>
    <row r="63" spans="1:1" x14ac:dyDescent="0.2">
      <c r="A63" s="19"/>
    </row>
    <row r="64" spans="1:1" x14ac:dyDescent="0.2">
      <c r="A64" s="19"/>
    </row>
    <row r="65" spans="1:1" x14ac:dyDescent="0.2">
      <c r="A65" s="19"/>
    </row>
    <row r="66" spans="1:1" x14ac:dyDescent="0.2">
      <c r="A66" s="19"/>
    </row>
  </sheetData>
  <mergeCells count="5">
    <mergeCell ref="A18:O18"/>
    <mergeCell ref="A2:O2"/>
    <mergeCell ref="A1:O1"/>
    <mergeCell ref="B22:E24"/>
    <mergeCell ref="B8:E10"/>
  </mergeCells>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opLeftCell="A37" zoomScale="90" zoomScaleNormal="90" workbookViewId="0">
      <selection activeCell="A16" sqref="A16:XFD16"/>
    </sheetView>
  </sheetViews>
  <sheetFormatPr defaultRowHeight="11.25" x14ac:dyDescent="0.2"/>
  <cols>
    <col min="1" max="1" width="4.42578125" style="14" customWidth="1"/>
    <col min="2" max="2" width="27.42578125" style="6" customWidth="1"/>
    <col min="3" max="3" width="24" style="6" customWidth="1"/>
    <col min="4" max="4" width="7.140625" style="6" customWidth="1"/>
    <col min="5" max="5" width="9.5703125" style="6" customWidth="1"/>
    <col min="6" max="6" width="10" style="6" customWidth="1"/>
    <col min="7" max="7" width="9.28515625" style="6" bestFit="1" customWidth="1"/>
    <col min="8" max="8" width="10.5703125" style="6" customWidth="1"/>
    <col min="9" max="9" width="10" style="64" customWidth="1"/>
    <col min="10" max="10" width="9.7109375" style="45" customWidth="1"/>
    <col min="11" max="11" width="10.85546875" style="45" customWidth="1"/>
    <col min="12" max="12" width="10" style="6" bestFit="1" customWidth="1"/>
    <col min="13" max="16384" width="9.140625" style="6"/>
  </cols>
  <sheetData>
    <row r="1" spans="1:11" ht="15" customHeight="1" x14ac:dyDescent="0.2">
      <c r="A1" s="114" t="s">
        <v>79</v>
      </c>
      <c r="B1" s="114"/>
      <c r="C1" s="114"/>
      <c r="D1" s="114"/>
      <c r="E1" s="114"/>
      <c r="F1" s="114"/>
      <c r="G1" s="114"/>
      <c r="H1" s="114"/>
      <c r="I1" s="114"/>
      <c r="J1" s="115" t="s">
        <v>321</v>
      </c>
      <c r="K1" s="115"/>
    </row>
    <row r="2" spans="1:11" x14ac:dyDescent="0.2">
      <c r="A2" s="104" t="s">
        <v>17</v>
      </c>
      <c r="B2" s="104"/>
      <c r="C2" s="104"/>
      <c r="D2" s="104"/>
      <c r="E2" s="104"/>
      <c r="F2" s="104"/>
      <c r="G2" s="104"/>
      <c r="H2" s="104"/>
      <c r="I2" s="104"/>
      <c r="K2" s="45">
        <v>159.97</v>
      </c>
    </row>
    <row r="3" spans="1:11" ht="106.5" customHeight="1" x14ac:dyDescent="0.2">
      <c r="A3" s="7" t="s">
        <v>13</v>
      </c>
      <c r="B3" s="8" t="s">
        <v>1</v>
      </c>
      <c r="C3" s="8" t="s">
        <v>16</v>
      </c>
      <c r="D3" s="9" t="s">
        <v>18</v>
      </c>
      <c r="E3" s="9" t="s">
        <v>19</v>
      </c>
      <c r="F3" s="9" t="s">
        <v>20</v>
      </c>
      <c r="G3" s="9" t="s">
        <v>21</v>
      </c>
      <c r="H3" s="9" t="s">
        <v>294</v>
      </c>
      <c r="I3" s="10" t="s">
        <v>14</v>
      </c>
      <c r="J3" s="46" t="s">
        <v>81</v>
      </c>
      <c r="K3" s="46" t="s">
        <v>58</v>
      </c>
    </row>
    <row r="4" spans="1:11" ht="22.5" x14ac:dyDescent="0.2">
      <c r="A4" s="15">
        <v>1</v>
      </c>
      <c r="B4" s="70" t="s">
        <v>169</v>
      </c>
      <c r="C4" s="73" t="s">
        <v>170</v>
      </c>
      <c r="D4" s="12">
        <v>5</v>
      </c>
      <c r="E4" s="12">
        <v>0</v>
      </c>
      <c r="F4" s="12">
        <v>0</v>
      </c>
      <c r="G4" s="12">
        <v>0</v>
      </c>
      <c r="H4" s="12">
        <v>0</v>
      </c>
      <c r="I4" s="7">
        <f>D4+E4+F4+G4+H4</f>
        <v>5</v>
      </c>
      <c r="J4" s="49">
        <f>I4*K2</f>
        <v>799.85</v>
      </c>
      <c r="K4" s="49">
        <v>1000</v>
      </c>
    </row>
    <row r="5" spans="1:11" x14ac:dyDescent="0.2">
      <c r="A5" s="15">
        <v>2</v>
      </c>
      <c r="B5" s="70" t="s">
        <v>70</v>
      </c>
      <c r="C5" s="70" t="s">
        <v>171</v>
      </c>
      <c r="D5" s="12">
        <v>5</v>
      </c>
      <c r="E5" s="12">
        <v>0</v>
      </c>
      <c r="F5" s="12">
        <v>0</v>
      </c>
      <c r="G5" s="12">
        <v>5</v>
      </c>
      <c r="H5" s="12">
        <v>6</v>
      </c>
      <c r="I5" s="7">
        <f>D5+E5+F5+G5+H5</f>
        <v>16</v>
      </c>
      <c r="J5" s="49">
        <f>I5*K2</f>
        <v>2559.52</v>
      </c>
      <c r="K5" s="49">
        <v>2000</v>
      </c>
    </row>
    <row r="6" spans="1:11" ht="22.5" x14ac:dyDescent="0.2">
      <c r="A6" s="15">
        <v>3</v>
      </c>
      <c r="B6" s="70" t="s">
        <v>51</v>
      </c>
      <c r="C6" s="71" t="s">
        <v>218</v>
      </c>
      <c r="D6" s="12">
        <v>5</v>
      </c>
      <c r="E6" s="12">
        <v>0</v>
      </c>
      <c r="F6" s="12">
        <v>1</v>
      </c>
      <c r="G6" s="12">
        <v>5</v>
      </c>
      <c r="H6" s="12">
        <v>2</v>
      </c>
      <c r="I6" s="87">
        <f t="shared" ref="I6" si="0">D6+E6+F6+G6+H6</f>
        <v>13</v>
      </c>
      <c r="J6" s="49">
        <f>I6*K2</f>
        <v>2079.61</v>
      </c>
      <c r="K6" s="49">
        <v>2080</v>
      </c>
    </row>
    <row r="7" spans="1:11" ht="33.75" x14ac:dyDescent="0.2">
      <c r="A7" s="15">
        <v>4</v>
      </c>
      <c r="B7" s="71" t="s">
        <v>172</v>
      </c>
      <c r="C7" s="71" t="s">
        <v>336</v>
      </c>
      <c r="D7" s="12">
        <v>5</v>
      </c>
      <c r="E7" s="12">
        <v>0</v>
      </c>
      <c r="F7" s="12">
        <v>5</v>
      </c>
      <c r="G7" s="12">
        <v>0</v>
      </c>
      <c r="H7" s="12">
        <v>0</v>
      </c>
      <c r="I7" s="7">
        <f t="shared" ref="I7:I8" si="1">D7+E7+F7+G7+H7</f>
        <v>10</v>
      </c>
      <c r="J7" s="49">
        <f>I7*K2</f>
        <v>1599.7</v>
      </c>
      <c r="K7" s="49">
        <v>1600</v>
      </c>
    </row>
    <row r="8" spans="1:11" ht="49.5" customHeight="1" x14ac:dyDescent="0.2">
      <c r="A8" s="15">
        <v>5</v>
      </c>
      <c r="B8" s="71" t="s">
        <v>173</v>
      </c>
      <c r="C8" s="71" t="s">
        <v>174</v>
      </c>
      <c r="D8" s="12">
        <v>5</v>
      </c>
      <c r="E8" s="12">
        <v>0</v>
      </c>
      <c r="F8" s="12">
        <v>5</v>
      </c>
      <c r="G8" s="12">
        <v>5</v>
      </c>
      <c r="H8" s="12">
        <v>1</v>
      </c>
      <c r="I8" s="7">
        <f t="shared" si="1"/>
        <v>16</v>
      </c>
      <c r="J8" s="49">
        <f>I8*K2</f>
        <v>2559.52</v>
      </c>
      <c r="K8" s="49">
        <v>2500</v>
      </c>
    </row>
    <row r="9" spans="1:11" ht="22.5" x14ac:dyDescent="0.2">
      <c r="A9" s="15">
        <v>6</v>
      </c>
      <c r="B9" s="70" t="s">
        <v>177</v>
      </c>
      <c r="C9" s="71" t="s">
        <v>178</v>
      </c>
      <c r="D9" s="12">
        <v>3</v>
      </c>
      <c r="E9" s="12">
        <v>0</v>
      </c>
      <c r="F9" s="12">
        <v>3</v>
      </c>
      <c r="G9" s="12">
        <v>0</v>
      </c>
      <c r="H9" s="12">
        <v>0</v>
      </c>
      <c r="I9" s="7">
        <f t="shared" ref="I9:I31" si="2">D9+E9+F9+G9+H9</f>
        <v>6</v>
      </c>
      <c r="J9" s="49">
        <f>I9*K2</f>
        <v>959.81999999999994</v>
      </c>
      <c r="K9" s="49">
        <v>1000</v>
      </c>
    </row>
    <row r="10" spans="1:11" ht="22.5" x14ac:dyDescent="0.2">
      <c r="A10" s="15">
        <v>7</v>
      </c>
      <c r="B10" s="70" t="s">
        <v>179</v>
      </c>
      <c r="C10" s="70" t="s">
        <v>180</v>
      </c>
      <c r="D10" s="12">
        <v>5</v>
      </c>
      <c r="E10" s="12">
        <v>0</v>
      </c>
      <c r="F10" s="12">
        <v>1</v>
      </c>
      <c r="G10" s="12">
        <v>5</v>
      </c>
      <c r="H10" s="12">
        <v>1</v>
      </c>
      <c r="I10" s="7">
        <f t="shared" si="2"/>
        <v>12</v>
      </c>
      <c r="J10" s="49">
        <f>I10*K2</f>
        <v>1919.6399999999999</v>
      </c>
      <c r="K10" s="49">
        <v>1920</v>
      </c>
    </row>
    <row r="11" spans="1:11" ht="33.75" x14ac:dyDescent="0.2">
      <c r="A11" s="15">
        <v>8</v>
      </c>
      <c r="B11" s="70" t="s">
        <v>221</v>
      </c>
      <c r="C11" s="70" t="s">
        <v>222</v>
      </c>
      <c r="D11" s="12">
        <v>5</v>
      </c>
      <c r="E11" s="12">
        <v>0</v>
      </c>
      <c r="F11" s="12">
        <v>1</v>
      </c>
      <c r="G11" s="12">
        <v>0</v>
      </c>
      <c r="H11" s="12">
        <v>2</v>
      </c>
      <c r="I11" s="87">
        <f t="shared" ref="I11" si="3">D11+E11+F11+G11+H11</f>
        <v>8</v>
      </c>
      <c r="J11" s="49">
        <f>I11*K2</f>
        <v>1279.76</v>
      </c>
      <c r="K11" s="49">
        <v>1280</v>
      </c>
    </row>
    <row r="12" spans="1:11" ht="22.5" x14ac:dyDescent="0.2">
      <c r="A12" s="15">
        <v>9</v>
      </c>
      <c r="B12" s="70" t="s">
        <v>181</v>
      </c>
      <c r="C12" s="70" t="s">
        <v>182</v>
      </c>
      <c r="D12" s="12">
        <v>1</v>
      </c>
      <c r="E12" s="12">
        <v>0</v>
      </c>
      <c r="F12" s="12">
        <v>0</v>
      </c>
      <c r="G12" s="12">
        <v>5</v>
      </c>
      <c r="H12" s="12">
        <v>0</v>
      </c>
      <c r="I12" s="7">
        <f t="shared" si="2"/>
        <v>6</v>
      </c>
      <c r="J12" s="49">
        <f>I12*K2</f>
        <v>959.81999999999994</v>
      </c>
      <c r="K12" s="49">
        <v>1000</v>
      </c>
    </row>
    <row r="13" spans="1:11" x14ac:dyDescent="0.2">
      <c r="A13" s="15">
        <v>10</v>
      </c>
      <c r="B13" s="70" t="s">
        <v>183</v>
      </c>
      <c r="C13" s="70" t="s">
        <v>184</v>
      </c>
      <c r="D13" s="12">
        <v>5</v>
      </c>
      <c r="E13" s="12">
        <v>0</v>
      </c>
      <c r="F13" s="12">
        <v>5</v>
      </c>
      <c r="G13" s="12">
        <v>5</v>
      </c>
      <c r="H13" s="12">
        <v>10</v>
      </c>
      <c r="I13" s="7">
        <f t="shared" si="2"/>
        <v>25</v>
      </c>
      <c r="J13" s="49">
        <f>I13*K2</f>
        <v>3999.25</v>
      </c>
      <c r="K13" s="49">
        <v>3000</v>
      </c>
    </row>
    <row r="14" spans="1:11" ht="22.5" x14ac:dyDescent="0.2">
      <c r="A14" s="15">
        <v>11</v>
      </c>
      <c r="B14" s="70" t="s">
        <v>185</v>
      </c>
      <c r="C14" s="70" t="s">
        <v>186</v>
      </c>
      <c r="D14" s="12">
        <v>4</v>
      </c>
      <c r="E14" s="12">
        <v>0</v>
      </c>
      <c r="F14" s="12">
        <v>0</v>
      </c>
      <c r="G14" s="12">
        <v>5</v>
      </c>
      <c r="H14" s="12">
        <v>1</v>
      </c>
      <c r="I14" s="7">
        <f t="shared" si="2"/>
        <v>10</v>
      </c>
      <c r="J14" s="49">
        <f>I14*K2</f>
        <v>1599.7</v>
      </c>
      <c r="K14" s="49">
        <v>1600</v>
      </c>
    </row>
    <row r="15" spans="1:11" ht="22.5" x14ac:dyDescent="0.2">
      <c r="A15" s="15">
        <v>12</v>
      </c>
      <c r="B15" s="70" t="s">
        <v>187</v>
      </c>
      <c r="C15" s="70" t="s">
        <v>188</v>
      </c>
      <c r="D15" s="12">
        <v>4</v>
      </c>
      <c r="E15" s="12">
        <v>0</v>
      </c>
      <c r="F15" s="12">
        <v>1</v>
      </c>
      <c r="G15" s="12">
        <v>5</v>
      </c>
      <c r="H15" s="12">
        <v>2</v>
      </c>
      <c r="I15" s="7">
        <f t="shared" si="2"/>
        <v>12</v>
      </c>
      <c r="J15" s="49">
        <f>I15*K2</f>
        <v>1919.6399999999999</v>
      </c>
      <c r="K15" s="49">
        <v>1920</v>
      </c>
    </row>
    <row r="16" spans="1:11" ht="33.75" x14ac:dyDescent="0.2">
      <c r="A16" s="15">
        <v>13</v>
      </c>
      <c r="B16" s="70" t="s">
        <v>189</v>
      </c>
      <c r="C16" s="73" t="s">
        <v>190</v>
      </c>
      <c r="D16" s="12">
        <v>5</v>
      </c>
      <c r="E16" s="12">
        <v>0</v>
      </c>
      <c r="F16" s="12">
        <v>0</v>
      </c>
      <c r="G16" s="12">
        <v>0</v>
      </c>
      <c r="H16" s="12">
        <v>6</v>
      </c>
      <c r="I16" s="7">
        <f t="shared" si="2"/>
        <v>11</v>
      </c>
      <c r="J16" s="49">
        <f>I16*K2</f>
        <v>1759.67</v>
      </c>
      <c r="K16" s="49">
        <f>2000-64-80</f>
        <v>1856</v>
      </c>
    </row>
    <row r="17" spans="1:14" ht="66.75" customHeight="1" x14ac:dyDescent="0.2">
      <c r="A17" s="15">
        <v>14</v>
      </c>
      <c r="B17" s="70" t="s">
        <v>119</v>
      </c>
      <c r="C17" s="70" t="s">
        <v>191</v>
      </c>
      <c r="D17" s="12">
        <v>5</v>
      </c>
      <c r="E17" s="12">
        <v>0</v>
      </c>
      <c r="F17" s="12">
        <v>3</v>
      </c>
      <c r="G17" s="12">
        <v>5</v>
      </c>
      <c r="H17" s="12">
        <v>10</v>
      </c>
      <c r="I17" s="7">
        <f t="shared" si="2"/>
        <v>23</v>
      </c>
      <c r="J17" s="49">
        <f>I17*K2</f>
        <v>3679.31</v>
      </c>
      <c r="K17" s="49">
        <v>3000</v>
      </c>
    </row>
    <row r="18" spans="1:14" ht="27" customHeight="1" x14ac:dyDescent="0.2">
      <c r="A18" s="15">
        <v>15</v>
      </c>
      <c r="B18" s="70" t="s">
        <v>192</v>
      </c>
      <c r="C18" s="75" t="s">
        <v>71</v>
      </c>
      <c r="D18" s="12">
        <v>5</v>
      </c>
      <c r="E18" s="12">
        <v>0</v>
      </c>
      <c r="F18" s="12">
        <v>2</v>
      </c>
      <c r="G18" s="12">
        <v>5</v>
      </c>
      <c r="H18" s="12">
        <v>3</v>
      </c>
      <c r="I18" s="7">
        <f t="shared" si="2"/>
        <v>15</v>
      </c>
      <c r="J18" s="49">
        <f>I18*K2</f>
        <v>2399.5500000000002</v>
      </c>
      <c r="K18" s="49">
        <v>2400</v>
      </c>
    </row>
    <row r="19" spans="1:14" ht="28.5" customHeight="1" x14ac:dyDescent="0.2">
      <c r="A19" s="15">
        <v>16</v>
      </c>
      <c r="B19" s="70" t="s">
        <v>193</v>
      </c>
      <c r="C19" s="70" t="s">
        <v>194</v>
      </c>
      <c r="D19" s="12">
        <v>5</v>
      </c>
      <c r="E19" s="12">
        <v>0</v>
      </c>
      <c r="F19" s="12">
        <v>0</v>
      </c>
      <c r="G19" s="12">
        <v>0</v>
      </c>
      <c r="H19" s="12">
        <v>0</v>
      </c>
      <c r="I19" s="7">
        <f t="shared" si="2"/>
        <v>5</v>
      </c>
      <c r="J19" s="49">
        <f>I19*K2</f>
        <v>799.85</v>
      </c>
      <c r="K19" s="49">
        <v>1000</v>
      </c>
    </row>
    <row r="20" spans="1:14" x14ac:dyDescent="0.2">
      <c r="A20" s="15">
        <v>17</v>
      </c>
      <c r="B20" s="70" t="s">
        <v>195</v>
      </c>
      <c r="C20" s="70" t="s">
        <v>196</v>
      </c>
      <c r="D20" s="12">
        <v>3</v>
      </c>
      <c r="E20" s="12">
        <v>0</v>
      </c>
      <c r="F20" s="12">
        <v>5</v>
      </c>
      <c r="G20" s="12">
        <v>0</v>
      </c>
      <c r="H20" s="12">
        <v>2</v>
      </c>
      <c r="I20" s="7">
        <f t="shared" si="2"/>
        <v>10</v>
      </c>
      <c r="J20" s="49">
        <f>I20*K2</f>
        <v>1599.7</v>
      </c>
      <c r="K20" s="49">
        <v>1600</v>
      </c>
    </row>
    <row r="21" spans="1:14" ht="30.75" customHeight="1" x14ac:dyDescent="0.2">
      <c r="A21" s="15">
        <v>18</v>
      </c>
      <c r="B21" s="70" t="s">
        <v>197</v>
      </c>
      <c r="C21" s="70" t="s">
        <v>198</v>
      </c>
      <c r="D21" s="12">
        <v>5</v>
      </c>
      <c r="E21" s="12">
        <v>0</v>
      </c>
      <c r="F21" s="12">
        <v>2</v>
      </c>
      <c r="G21" s="12">
        <v>5</v>
      </c>
      <c r="H21" s="12">
        <v>0</v>
      </c>
      <c r="I21" s="7">
        <f t="shared" si="2"/>
        <v>12</v>
      </c>
      <c r="J21" s="49">
        <f>I21*K2</f>
        <v>1919.6399999999999</v>
      </c>
      <c r="K21" s="49">
        <v>1920</v>
      </c>
    </row>
    <row r="22" spans="1:14" ht="33.75" x14ac:dyDescent="0.2">
      <c r="A22" s="15">
        <v>19</v>
      </c>
      <c r="B22" s="70" t="s">
        <v>225</v>
      </c>
      <c r="C22" s="70" t="s">
        <v>226</v>
      </c>
      <c r="D22" s="12">
        <v>5</v>
      </c>
      <c r="E22" s="12">
        <v>0</v>
      </c>
      <c r="F22" s="12">
        <v>5</v>
      </c>
      <c r="G22" s="12">
        <v>5</v>
      </c>
      <c r="H22" s="12">
        <v>2</v>
      </c>
      <c r="I22" s="87">
        <f t="shared" ref="I22" si="4">D22+E22+F22+G22+H22</f>
        <v>17</v>
      </c>
      <c r="J22" s="49">
        <f>I22*K2</f>
        <v>2719.49</v>
      </c>
      <c r="K22" s="49">
        <v>2720</v>
      </c>
    </row>
    <row r="23" spans="1:14" ht="22.5" x14ac:dyDescent="0.2">
      <c r="A23" s="15">
        <v>20</v>
      </c>
      <c r="B23" s="70" t="s">
        <v>68</v>
      </c>
      <c r="C23" s="70" t="s">
        <v>199</v>
      </c>
      <c r="D23" s="12">
        <v>5</v>
      </c>
      <c r="E23" s="12">
        <v>0</v>
      </c>
      <c r="F23" s="12">
        <v>5</v>
      </c>
      <c r="G23" s="12">
        <v>0</v>
      </c>
      <c r="H23" s="12">
        <v>0</v>
      </c>
      <c r="I23" s="7">
        <f t="shared" si="2"/>
        <v>10</v>
      </c>
      <c r="J23" s="49">
        <f>I23*K2</f>
        <v>1599.7</v>
      </c>
      <c r="K23" s="49">
        <v>1600</v>
      </c>
    </row>
    <row r="24" spans="1:14" ht="39" customHeight="1" x14ac:dyDescent="0.2">
      <c r="A24" s="15">
        <v>21</v>
      </c>
      <c r="B24" s="70" t="s">
        <v>200</v>
      </c>
      <c r="C24" s="70" t="s">
        <v>201</v>
      </c>
      <c r="D24" s="12">
        <v>5</v>
      </c>
      <c r="E24" s="12">
        <v>0</v>
      </c>
      <c r="F24" s="12">
        <v>0</v>
      </c>
      <c r="G24" s="12">
        <v>0</v>
      </c>
      <c r="H24" s="12">
        <v>0</v>
      </c>
      <c r="I24" s="7">
        <f t="shared" si="2"/>
        <v>5</v>
      </c>
      <c r="J24" s="49">
        <f>I24*K2</f>
        <v>799.85</v>
      </c>
      <c r="K24" s="49">
        <v>1000</v>
      </c>
    </row>
    <row r="25" spans="1:14" ht="33.75" x14ac:dyDescent="0.2">
      <c r="A25" s="15">
        <v>22</v>
      </c>
      <c r="B25" s="70" t="s">
        <v>202</v>
      </c>
      <c r="C25" s="70" t="s">
        <v>203</v>
      </c>
      <c r="D25" s="12">
        <v>5</v>
      </c>
      <c r="E25" s="12">
        <v>0</v>
      </c>
      <c r="F25" s="12">
        <v>1</v>
      </c>
      <c r="G25" s="12">
        <v>5</v>
      </c>
      <c r="H25" s="12">
        <v>3</v>
      </c>
      <c r="I25" s="7">
        <f t="shared" si="2"/>
        <v>14</v>
      </c>
      <c r="J25" s="49">
        <f>I25*K2</f>
        <v>2239.58</v>
      </c>
      <c r="K25" s="49">
        <v>2240</v>
      </c>
    </row>
    <row r="26" spans="1:14" ht="28.5" customHeight="1" x14ac:dyDescent="0.2">
      <c r="A26" s="15">
        <v>23</v>
      </c>
      <c r="B26" s="70" t="s">
        <v>204</v>
      </c>
      <c r="C26" s="76" t="s">
        <v>205</v>
      </c>
      <c r="D26" s="12">
        <v>5</v>
      </c>
      <c r="E26" s="12">
        <v>0</v>
      </c>
      <c r="F26" s="12">
        <v>0</v>
      </c>
      <c r="G26" s="12">
        <v>5</v>
      </c>
      <c r="H26" s="12">
        <v>5</v>
      </c>
      <c r="I26" s="7">
        <f t="shared" si="2"/>
        <v>15</v>
      </c>
      <c r="J26" s="49">
        <f>I26*K2</f>
        <v>2399.5500000000002</v>
      </c>
      <c r="K26" s="49">
        <v>2400</v>
      </c>
    </row>
    <row r="27" spans="1:14" ht="33.75" x14ac:dyDescent="0.2">
      <c r="A27" s="15">
        <v>24</v>
      </c>
      <c r="B27" s="70" t="s">
        <v>206</v>
      </c>
      <c r="C27" s="76" t="s">
        <v>207</v>
      </c>
      <c r="D27" s="12">
        <v>5</v>
      </c>
      <c r="E27" s="12">
        <v>0</v>
      </c>
      <c r="F27" s="12">
        <v>1</v>
      </c>
      <c r="G27" s="12">
        <v>5</v>
      </c>
      <c r="H27" s="12">
        <v>3</v>
      </c>
      <c r="I27" s="7">
        <f t="shared" si="2"/>
        <v>14</v>
      </c>
      <c r="J27" s="49">
        <f>I27*K2</f>
        <v>2239.58</v>
      </c>
      <c r="K27" s="49">
        <v>2000</v>
      </c>
    </row>
    <row r="28" spans="1:14" ht="40.5" customHeight="1" x14ac:dyDescent="0.2">
      <c r="A28" s="15">
        <v>25</v>
      </c>
      <c r="B28" s="70" t="s">
        <v>208</v>
      </c>
      <c r="C28" s="71" t="s">
        <v>209</v>
      </c>
      <c r="D28" s="12">
        <v>5</v>
      </c>
      <c r="E28" s="12">
        <v>0</v>
      </c>
      <c r="F28" s="12">
        <v>0</v>
      </c>
      <c r="G28" s="12">
        <v>0</v>
      </c>
      <c r="H28" s="12">
        <v>3</v>
      </c>
      <c r="I28" s="7">
        <f t="shared" si="2"/>
        <v>8</v>
      </c>
      <c r="J28" s="49">
        <f>I28*K2</f>
        <v>1279.76</v>
      </c>
      <c r="K28" s="49">
        <v>1280</v>
      </c>
    </row>
    <row r="29" spans="1:14" ht="27.75" customHeight="1" x14ac:dyDescent="0.2">
      <c r="A29" s="15">
        <v>26</v>
      </c>
      <c r="B29" s="70" t="s">
        <v>210</v>
      </c>
      <c r="C29" s="71" t="s">
        <v>211</v>
      </c>
      <c r="D29" s="12">
        <v>5</v>
      </c>
      <c r="E29" s="12">
        <v>0</v>
      </c>
      <c r="F29" s="12">
        <v>1</v>
      </c>
      <c r="G29" s="12">
        <v>5</v>
      </c>
      <c r="H29" s="12">
        <v>2</v>
      </c>
      <c r="I29" s="7">
        <f t="shared" si="2"/>
        <v>13</v>
      </c>
      <c r="J29" s="49">
        <f>I29*K2</f>
        <v>2079.61</v>
      </c>
      <c r="K29" s="49">
        <v>2000</v>
      </c>
    </row>
    <row r="30" spans="1:14" ht="33.75" x14ac:dyDescent="0.2">
      <c r="A30" s="15">
        <v>27</v>
      </c>
      <c r="B30" s="70" t="s">
        <v>212</v>
      </c>
      <c r="C30" s="71" t="s">
        <v>213</v>
      </c>
      <c r="D30" s="12">
        <v>5</v>
      </c>
      <c r="E30" s="12">
        <v>0</v>
      </c>
      <c r="F30" s="12">
        <v>0</v>
      </c>
      <c r="G30" s="12">
        <v>0</v>
      </c>
      <c r="H30" s="12">
        <v>0</v>
      </c>
      <c r="I30" s="7">
        <f t="shared" si="2"/>
        <v>5</v>
      </c>
      <c r="J30" s="49">
        <f>I30*K2</f>
        <v>799.85</v>
      </c>
      <c r="K30" s="49">
        <v>1000</v>
      </c>
    </row>
    <row r="31" spans="1:14" x14ac:dyDescent="0.2">
      <c r="A31" s="15">
        <v>28</v>
      </c>
      <c r="B31" s="70" t="s">
        <v>69</v>
      </c>
      <c r="C31" s="71" t="s">
        <v>229</v>
      </c>
      <c r="D31" s="12">
        <v>5</v>
      </c>
      <c r="E31" s="12">
        <v>0</v>
      </c>
      <c r="F31" s="12">
        <v>2</v>
      </c>
      <c r="G31" s="12">
        <v>0</v>
      </c>
      <c r="H31" s="12">
        <v>0</v>
      </c>
      <c r="I31" s="86">
        <f t="shared" si="2"/>
        <v>7</v>
      </c>
      <c r="J31" s="49">
        <f>I31*K2</f>
        <v>1119.79</v>
      </c>
      <c r="K31" s="49">
        <v>1000</v>
      </c>
    </row>
    <row r="32" spans="1:14" ht="21" customHeight="1" x14ac:dyDescent="0.2">
      <c r="A32" s="63"/>
      <c r="B32" s="13"/>
      <c r="C32" s="13"/>
      <c r="D32" s="13"/>
      <c r="E32" s="13"/>
      <c r="F32" s="13"/>
      <c r="G32" s="13"/>
      <c r="H32" s="13"/>
      <c r="I32" s="63">
        <f>SUM(I4:I31)</f>
        <v>323</v>
      </c>
      <c r="J32" s="50">
        <f>SUM(J4:J31)</f>
        <v>51670.310000000005</v>
      </c>
      <c r="K32" s="50">
        <f>SUM(K4:K31)</f>
        <v>49916</v>
      </c>
      <c r="L32" s="45"/>
      <c r="N32" s="45"/>
    </row>
    <row r="33" spans="1:15" x14ac:dyDescent="0.2">
      <c r="A33" s="104" t="s">
        <v>22</v>
      </c>
      <c r="B33" s="104"/>
      <c r="C33" s="104"/>
      <c r="D33" s="104"/>
      <c r="E33" s="104"/>
      <c r="F33" s="104"/>
      <c r="G33" s="104"/>
      <c r="H33" s="104"/>
      <c r="I33" s="104"/>
    </row>
    <row r="34" spans="1:15" ht="111.75" customHeight="1" x14ac:dyDescent="0.2">
      <c r="A34" s="7" t="s">
        <v>13</v>
      </c>
      <c r="B34" s="8" t="s">
        <v>1</v>
      </c>
      <c r="C34" s="8" t="s">
        <v>16</v>
      </c>
      <c r="D34" s="9" t="s">
        <v>18</v>
      </c>
      <c r="E34" s="9" t="s">
        <v>19</v>
      </c>
      <c r="F34" s="9" t="s">
        <v>20</v>
      </c>
      <c r="G34" s="9" t="s">
        <v>23</v>
      </c>
      <c r="H34" s="9" t="s">
        <v>24</v>
      </c>
      <c r="I34" s="9" t="s">
        <v>25</v>
      </c>
      <c r="J34" s="60" t="s">
        <v>14</v>
      </c>
      <c r="K34" s="46" t="s">
        <v>81</v>
      </c>
      <c r="L34" s="46" t="s">
        <v>58</v>
      </c>
    </row>
    <row r="35" spans="1:15" ht="39.75" customHeight="1" x14ac:dyDescent="0.2">
      <c r="A35" s="15">
        <v>1</v>
      </c>
      <c r="B35" s="70" t="s">
        <v>214</v>
      </c>
      <c r="C35" s="70" t="s">
        <v>215</v>
      </c>
      <c r="D35" s="12">
        <v>5</v>
      </c>
      <c r="E35" s="12">
        <v>0</v>
      </c>
      <c r="F35" s="12">
        <v>0</v>
      </c>
      <c r="G35" s="12">
        <v>0</v>
      </c>
      <c r="H35" s="12">
        <v>0</v>
      </c>
      <c r="I35" s="7">
        <v>0</v>
      </c>
      <c r="J35" s="61">
        <f>D35+E35+F35+G35+H35+I35</f>
        <v>5</v>
      </c>
      <c r="K35" s="49">
        <f>J35*K2</f>
        <v>799.85</v>
      </c>
      <c r="L35" s="49">
        <v>1500</v>
      </c>
    </row>
    <row r="36" spans="1:15" ht="27.75" customHeight="1" x14ac:dyDescent="0.2">
      <c r="A36" s="15">
        <v>2</v>
      </c>
      <c r="B36" s="77" t="s">
        <v>216</v>
      </c>
      <c r="C36" s="77" t="s">
        <v>217</v>
      </c>
      <c r="D36" s="12">
        <v>5</v>
      </c>
      <c r="E36" s="12">
        <v>2</v>
      </c>
      <c r="F36" s="12">
        <v>0</v>
      </c>
      <c r="G36" s="12">
        <v>0</v>
      </c>
      <c r="H36" s="12">
        <v>3</v>
      </c>
      <c r="I36" s="7">
        <v>0</v>
      </c>
      <c r="J36" s="61">
        <f t="shared" ref="J36:J39" si="5">D36+E36+F36+G36+H36+I36</f>
        <v>10</v>
      </c>
      <c r="K36" s="49">
        <f>J36*K2</f>
        <v>1599.7</v>
      </c>
      <c r="L36" s="49">
        <v>1450</v>
      </c>
    </row>
    <row r="37" spans="1:15" ht="29.25" customHeight="1" x14ac:dyDescent="0.2">
      <c r="A37" s="15">
        <v>3</v>
      </c>
      <c r="B37" s="71" t="s">
        <v>219</v>
      </c>
      <c r="C37" s="71" t="s">
        <v>220</v>
      </c>
      <c r="D37" s="12">
        <v>5</v>
      </c>
      <c r="E37" s="12">
        <v>0</v>
      </c>
      <c r="F37" s="12">
        <v>10</v>
      </c>
      <c r="G37" s="12">
        <v>2</v>
      </c>
      <c r="H37" s="12">
        <v>3</v>
      </c>
      <c r="I37" s="51">
        <v>5</v>
      </c>
      <c r="J37" s="61">
        <f t="shared" ref="J37" si="6">D37+E37+F37+G37+H37+I37</f>
        <v>25</v>
      </c>
      <c r="K37" s="49">
        <f>J37*K2</f>
        <v>3999.25</v>
      </c>
      <c r="L37" s="49">
        <v>2000</v>
      </c>
    </row>
    <row r="38" spans="1:15" ht="33.75" x14ac:dyDescent="0.2">
      <c r="A38" s="15">
        <v>4</v>
      </c>
      <c r="B38" s="70" t="s">
        <v>223</v>
      </c>
      <c r="C38" s="75" t="s">
        <v>224</v>
      </c>
      <c r="D38" s="12">
        <v>5</v>
      </c>
      <c r="E38" s="12">
        <v>0</v>
      </c>
      <c r="F38" s="12">
        <v>0</v>
      </c>
      <c r="G38" s="12">
        <v>5</v>
      </c>
      <c r="H38" s="12">
        <v>1</v>
      </c>
      <c r="I38" s="7">
        <v>2</v>
      </c>
      <c r="J38" s="61">
        <f t="shared" si="5"/>
        <v>13</v>
      </c>
      <c r="K38" s="49">
        <f>J38*K2</f>
        <v>2079.61</v>
      </c>
      <c r="L38" s="49">
        <v>1500</v>
      </c>
    </row>
    <row r="39" spans="1:15" x14ac:dyDescent="0.2">
      <c r="A39" s="15">
        <v>5</v>
      </c>
      <c r="B39" s="70" t="s">
        <v>227</v>
      </c>
      <c r="C39" s="71" t="s">
        <v>228</v>
      </c>
      <c r="D39" s="12">
        <v>5</v>
      </c>
      <c r="E39" s="12">
        <v>0</v>
      </c>
      <c r="F39" s="12">
        <v>0</v>
      </c>
      <c r="G39" s="12">
        <v>0</v>
      </c>
      <c r="H39" s="12">
        <v>0</v>
      </c>
      <c r="I39" s="7">
        <v>1</v>
      </c>
      <c r="J39" s="61">
        <f t="shared" si="5"/>
        <v>6</v>
      </c>
      <c r="K39" s="49">
        <f>J39*K2</f>
        <v>959.81999999999994</v>
      </c>
      <c r="L39" s="49">
        <v>1000</v>
      </c>
    </row>
    <row r="40" spans="1:15" x14ac:dyDescent="0.2">
      <c r="J40" s="96">
        <f>SUM(J35:J39)</f>
        <v>59</v>
      </c>
      <c r="K40" s="94">
        <f>SUM(K35:K39)</f>
        <v>9438.23</v>
      </c>
      <c r="L40" s="94">
        <f>SUM(L35:L39)</f>
        <v>7450</v>
      </c>
      <c r="N40" s="45"/>
      <c r="O40" s="45"/>
    </row>
    <row r="41" spans="1:15" x14ac:dyDescent="0.2">
      <c r="A41" s="103" t="s">
        <v>34</v>
      </c>
      <c r="B41" s="103"/>
      <c r="C41" s="103"/>
      <c r="D41" s="103"/>
      <c r="E41" s="103"/>
      <c r="F41" s="103"/>
      <c r="G41" s="103"/>
      <c r="H41" s="103"/>
      <c r="I41" s="103"/>
      <c r="J41" s="103"/>
    </row>
    <row r="42" spans="1:15" ht="96.75" customHeight="1" x14ac:dyDescent="0.2">
      <c r="A42" s="7" t="s">
        <v>13</v>
      </c>
      <c r="B42" s="8" t="s">
        <v>1</v>
      </c>
      <c r="C42" s="8" t="s">
        <v>16</v>
      </c>
      <c r="D42" s="116" t="s">
        <v>35</v>
      </c>
      <c r="E42" s="117"/>
      <c r="F42" s="117"/>
      <c r="G42" s="117"/>
      <c r="H42" s="117"/>
      <c r="I42" s="118"/>
      <c r="J42" s="60" t="s">
        <v>14</v>
      </c>
      <c r="K42" s="46" t="s">
        <v>81</v>
      </c>
      <c r="L42" s="46" t="s">
        <v>58</v>
      </c>
    </row>
    <row r="43" spans="1:15" ht="9.75" customHeight="1" x14ac:dyDescent="0.2">
      <c r="A43" s="7"/>
      <c r="B43" s="8"/>
      <c r="C43" s="8"/>
      <c r="D43" s="16"/>
      <c r="E43" s="16"/>
      <c r="F43" s="16"/>
      <c r="G43" s="16"/>
      <c r="H43" s="16"/>
      <c r="I43" s="16"/>
      <c r="J43" s="60"/>
      <c r="K43" s="46"/>
      <c r="L43" s="46"/>
    </row>
    <row r="44" spans="1:15" ht="8.25" customHeight="1" x14ac:dyDescent="0.2"/>
    <row r="45" spans="1:15" ht="16.5" customHeight="1" x14ac:dyDescent="0.2">
      <c r="B45" s="99" t="s">
        <v>335</v>
      </c>
      <c r="C45" s="99"/>
      <c r="D45" s="99"/>
      <c r="E45" s="99"/>
      <c r="H45" s="6" t="s">
        <v>74</v>
      </c>
    </row>
    <row r="46" spans="1:15" ht="24" customHeight="1" x14ac:dyDescent="0.2">
      <c r="B46" s="99"/>
      <c r="C46" s="99"/>
      <c r="D46" s="99"/>
      <c r="E46" s="99"/>
      <c r="H46" s="35" t="s">
        <v>284</v>
      </c>
      <c r="I46" s="6"/>
    </row>
    <row r="47" spans="1:15" ht="29.25" customHeight="1" x14ac:dyDescent="0.2">
      <c r="B47" s="99"/>
      <c r="C47" s="99"/>
      <c r="D47" s="99"/>
      <c r="E47" s="99"/>
      <c r="H47" s="35" t="s">
        <v>75</v>
      </c>
      <c r="I47" s="6"/>
    </row>
    <row r="48" spans="1:15" ht="18.75" customHeight="1" x14ac:dyDescent="0.2">
      <c r="H48" s="35" t="s">
        <v>285</v>
      </c>
      <c r="I48" s="6"/>
    </row>
    <row r="49" spans="2:9" ht="22.5" customHeight="1" x14ac:dyDescent="0.2">
      <c r="H49" s="35" t="s">
        <v>286</v>
      </c>
      <c r="I49" s="6"/>
    </row>
    <row r="50" spans="2:9" ht="21.75" customHeight="1" x14ac:dyDescent="0.2">
      <c r="H50" s="35" t="s">
        <v>287</v>
      </c>
      <c r="I50" s="6"/>
    </row>
    <row r="51" spans="2:9" ht="20.25" customHeight="1" x14ac:dyDescent="0.2">
      <c r="B51" s="25" t="s">
        <v>325</v>
      </c>
      <c r="H51" s="35" t="s">
        <v>288</v>
      </c>
      <c r="I51" s="6"/>
    </row>
    <row r="52" spans="2:9" ht="21" customHeight="1" x14ac:dyDescent="0.2">
      <c r="H52" s="35" t="s">
        <v>289</v>
      </c>
      <c r="I52" s="6"/>
    </row>
    <row r="53" spans="2:9" ht="16.5" customHeight="1" x14ac:dyDescent="0.2">
      <c r="I53" s="6"/>
    </row>
    <row r="54" spans="2:9" ht="16.5" customHeight="1" x14ac:dyDescent="0.2">
      <c r="I54" s="6"/>
    </row>
    <row r="55" spans="2:9" ht="16.5" customHeight="1" x14ac:dyDescent="0.2">
      <c r="I55" s="6"/>
    </row>
  </sheetData>
  <mergeCells count="7">
    <mergeCell ref="A1:I1"/>
    <mergeCell ref="J1:K1"/>
    <mergeCell ref="B45:E47"/>
    <mergeCell ref="A2:I2"/>
    <mergeCell ref="A33:I33"/>
    <mergeCell ref="A41:J41"/>
    <mergeCell ref="D42:I42"/>
  </mergeCells>
  <pageMargins left="0.11811023622047245" right="0.11811023622047245" top="0.15748031496062992" bottom="0.15748031496062992" header="0.11811023622047245" footer="0.11811023622047245"/>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16" workbookViewId="0">
      <selection activeCell="P30" sqref="P30"/>
    </sheetView>
  </sheetViews>
  <sheetFormatPr defaultRowHeight="11.25" x14ac:dyDescent="0.2"/>
  <cols>
    <col min="1" max="1" width="6" style="6" customWidth="1"/>
    <col min="2" max="2" width="28" style="6" customWidth="1"/>
    <col min="3" max="3" width="25.85546875" style="6" customWidth="1"/>
    <col min="4" max="4" width="8.42578125" style="6" customWidth="1"/>
    <col min="5" max="5" width="7" style="6" customWidth="1"/>
    <col min="6" max="6" width="12.85546875" style="6" customWidth="1"/>
    <col min="7" max="8" width="9.140625" style="6"/>
    <col min="9" max="9" width="9.140625" style="11"/>
    <col min="10" max="11" width="9.140625" style="45"/>
    <col min="12" max="16384" width="9.140625" style="6"/>
  </cols>
  <sheetData>
    <row r="1" spans="1:12" x14ac:dyDescent="0.2">
      <c r="A1" s="104" t="s">
        <v>30</v>
      </c>
      <c r="B1" s="104"/>
      <c r="C1" s="104"/>
      <c r="D1" s="104"/>
      <c r="E1" s="104"/>
      <c r="F1" s="104"/>
      <c r="G1" s="104"/>
      <c r="H1" s="104"/>
      <c r="I1" s="104"/>
      <c r="J1" s="45" t="s">
        <v>326</v>
      </c>
      <c r="L1" s="6">
        <v>159.97</v>
      </c>
    </row>
    <row r="2" spans="1:12" ht="95.25" x14ac:dyDescent="0.2">
      <c r="A2" s="7" t="s">
        <v>13</v>
      </c>
      <c r="B2" s="8" t="s">
        <v>1</v>
      </c>
      <c r="C2" s="8" t="s">
        <v>16</v>
      </c>
      <c r="D2" s="9" t="s">
        <v>18</v>
      </c>
      <c r="E2" s="9" t="s">
        <v>26</v>
      </c>
      <c r="F2" s="9" t="s">
        <v>27</v>
      </c>
      <c r="G2" s="9" t="s">
        <v>28</v>
      </c>
      <c r="H2" s="9" t="s">
        <v>29</v>
      </c>
      <c r="I2" s="10" t="s">
        <v>14</v>
      </c>
      <c r="J2" s="46" t="s">
        <v>81</v>
      </c>
      <c r="K2" s="46" t="s">
        <v>58</v>
      </c>
    </row>
    <row r="3" spans="1:12" ht="22.5" x14ac:dyDescent="0.2">
      <c r="A3" s="7">
        <v>1</v>
      </c>
      <c r="B3" s="70" t="s">
        <v>59</v>
      </c>
      <c r="C3" s="70" t="s">
        <v>230</v>
      </c>
      <c r="D3" s="12">
        <v>2</v>
      </c>
      <c r="E3" s="12">
        <v>10</v>
      </c>
      <c r="F3" s="12">
        <v>5</v>
      </c>
      <c r="G3" s="12">
        <v>4</v>
      </c>
      <c r="H3" s="12">
        <v>0</v>
      </c>
      <c r="I3" s="18">
        <f>D3+E3+F3+G3+H3</f>
        <v>21</v>
      </c>
      <c r="J3" s="49">
        <f>I3*L1</f>
        <v>3359.37</v>
      </c>
      <c r="K3" s="49">
        <v>2000</v>
      </c>
    </row>
    <row r="4" spans="1:12" ht="33.75" x14ac:dyDescent="0.2">
      <c r="A4" s="7">
        <v>2</v>
      </c>
      <c r="B4" s="70" t="s">
        <v>231</v>
      </c>
      <c r="C4" s="78" t="s">
        <v>232</v>
      </c>
      <c r="D4" s="12">
        <v>3</v>
      </c>
      <c r="E4" s="12">
        <v>10</v>
      </c>
      <c r="F4" s="12">
        <v>0</v>
      </c>
      <c r="G4" s="12">
        <v>0</v>
      </c>
      <c r="H4" s="12">
        <v>0</v>
      </c>
      <c r="I4" s="18">
        <f t="shared" ref="I4:I34" si="0">D4+E4+F4+G4+H4</f>
        <v>13</v>
      </c>
      <c r="J4" s="49">
        <f>I4*L1</f>
        <v>2079.61</v>
      </c>
      <c r="K4" s="49">
        <v>1500</v>
      </c>
    </row>
    <row r="5" spans="1:12" ht="45" x14ac:dyDescent="0.2">
      <c r="A5" s="7">
        <v>3</v>
      </c>
      <c r="B5" s="70" t="s">
        <v>233</v>
      </c>
      <c r="C5" s="70" t="s">
        <v>234</v>
      </c>
      <c r="D5" s="12">
        <v>5</v>
      </c>
      <c r="E5" s="12">
        <v>5</v>
      </c>
      <c r="F5" s="12">
        <v>0</v>
      </c>
      <c r="G5" s="12">
        <v>0</v>
      </c>
      <c r="H5" s="12">
        <v>0</v>
      </c>
      <c r="I5" s="18">
        <f t="shared" si="0"/>
        <v>10</v>
      </c>
      <c r="J5" s="49">
        <f>I5*L1</f>
        <v>1599.7</v>
      </c>
      <c r="K5" s="49">
        <v>1500</v>
      </c>
    </row>
    <row r="6" spans="1:12" ht="22.5" x14ac:dyDescent="0.2">
      <c r="A6" s="7">
        <v>4</v>
      </c>
      <c r="B6" s="70" t="s">
        <v>109</v>
      </c>
      <c r="C6" s="71" t="s">
        <v>235</v>
      </c>
      <c r="D6" s="12">
        <v>5</v>
      </c>
      <c r="E6" s="12">
        <v>10</v>
      </c>
      <c r="F6" s="12">
        <v>5</v>
      </c>
      <c r="G6" s="12">
        <v>10</v>
      </c>
      <c r="H6" s="12">
        <v>3</v>
      </c>
      <c r="I6" s="18">
        <f t="shared" si="0"/>
        <v>33</v>
      </c>
      <c r="J6" s="49">
        <f>I6*L1</f>
        <v>5279.01</v>
      </c>
      <c r="K6" s="49">
        <v>4000</v>
      </c>
    </row>
    <row r="7" spans="1:12" ht="22.5" x14ac:dyDescent="0.2">
      <c r="A7" s="87">
        <v>5</v>
      </c>
      <c r="B7" s="70" t="s">
        <v>94</v>
      </c>
      <c r="C7" s="70" t="s">
        <v>236</v>
      </c>
      <c r="D7" s="12">
        <v>3</v>
      </c>
      <c r="E7" s="12">
        <v>10</v>
      </c>
      <c r="F7" s="12">
        <v>10</v>
      </c>
      <c r="G7" s="12">
        <v>10</v>
      </c>
      <c r="H7" s="12">
        <v>3</v>
      </c>
      <c r="I7" s="18">
        <f t="shared" si="0"/>
        <v>36</v>
      </c>
      <c r="J7" s="49">
        <f>I7*L1</f>
        <v>5758.92</v>
      </c>
      <c r="K7" s="49">
        <v>4000</v>
      </c>
    </row>
    <row r="8" spans="1:12" ht="51" customHeight="1" x14ac:dyDescent="0.2">
      <c r="A8" s="87">
        <v>6</v>
      </c>
      <c r="B8" s="75" t="s">
        <v>92</v>
      </c>
      <c r="C8" s="75" t="s">
        <v>237</v>
      </c>
      <c r="D8" s="12">
        <v>5</v>
      </c>
      <c r="E8" s="12">
        <v>10</v>
      </c>
      <c r="F8" s="12">
        <v>0</v>
      </c>
      <c r="G8" s="12">
        <v>0</v>
      </c>
      <c r="H8" s="12">
        <v>10</v>
      </c>
      <c r="I8" s="18">
        <f t="shared" si="0"/>
        <v>25</v>
      </c>
      <c r="J8" s="49">
        <f>I8*L1</f>
        <v>3999.25</v>
      </c>
      <c r="K8" s="49">
        <v>4000</v>
      </c>
    </row>
    <row r="9" spans="1:12" ht="22.5" x14ac:dyDescent="0.2">
      <c r="A9" s="87">
        <v>7</v>
      </c>
      <c r="B9" s="70" t="s">
        <v>238</v>
      </c>
      <c r="C9" s="70" t="s">
        <v>239</v>
      </c>
      <c r="D9" s="12">
        <v>5</v>
      </c>
      <c r="E9" s="12">
        <v>5</v>
      </c>
      <c r="F9" s="12">
        <v>0</v>
      </c>
      <c r="G9" s="12">
        <v>5</v>
      </c>
      <c r="H9" s="12">
        <v>5</v>
      </c>
      <c r="I9" s="18">
        <f t="shared" si="0"/>
        <v>20</v>
      </c>
      <c r="J9" s="49">
        <f>I9*L1</f>
        <v>3199.4</v>
      </c>
      <c r="K9" s="49">
        <v>2000</v>
      </c>
    </row>
    <row r="10" spans="1:12" ht="33.75" x14ac:dyDescent="0.2">
      <c r="A10" s="87">
        <v>8</v>
      </c>
      <c r="B10" s="71" t="s">
        <v>163</v>
      </c>
      <c r="C10" s="71" t="s">
        <v>240</v>
      </c>
      <c r="D10" s="12">
        <v>5</v>
      </c>
      <c r="E10" s="12">
        <v>5</v>
      </c>
      <c r="F10" s="12">
        <v>0</v>
      </c>
      <c r="G10" s="12">
        <v>6</v>
      </c>
      <c r="H10" s="12">
        <v>10</v>
      </c>
      <c r="I10" s="18">
        <f t="shared" si="0"/>
        <v>26</v>
      </c>
      <c r="J10" s="49">
        <f>I10*L1</f>
        <v>4159.22</v>
      </c>
      <c r="K10" s="49">
        <v>3000</v>
      </c>
    </row>
    <row r="11" spans="1:12" ht="33.75" x14ac:dyDescent="0.2">
      <c r="A11" s="87">
        <v>9</v>
      </c>
      <c r="B11" s="71" t="s">
        <v>241</v>
      </c>
      <c r="C11" s="71" t="s">
        <v>242</v>
      </c>
      <c r="D11" s="12">
        <v>5</v>
      </c>
      <c r="E11" s="12">
        <v>5</v>
      </c>
      <c r="F11" s="12">
        <v>0</v>
      </c>
      <c r="G11" s="12">
        <v>10</v>
      </c>
      <c r="H11" s="12">
        <v>0</v>
      </c>
      <c r="I11" s="18">
        <f t="shared" si="0"/>
        <v>20</v>
      </c>
      <c r="J11" s="49">
        <f>I11*L1</f>
        <v>3199.4</v>
      </c>
      <c r="K11" s="49">
        <v>3000</v>
      </c>
    </row>
    <row r="12" spans="1:12" ht="33.75" x14ac:dyDescent="0.2">
      <c r="A12" s="87">
        <v>10</v>
      </c>
      <c r="B12" s="73" t="s">
        <v>243</v>
      </c>
      <c r="C12" s="73" t="s">
        <v>244</v>
      </c>
      <c r="D12" s="12">
        <v>5</v>
      </c>
      <c r="E12" s="12">
        <v>5</v>
      </c>
      <c r="F12" s="12">
        <v>0</v>
      </c>
      <c r="G12" s="12">
        <v>4</v>
      </c>
      <c r="H12" s="12">
        <v>5</v>
      </c>
      <c r="I12" s="18">
        <f t="shared" si="0"/>
        <v>19</v>
      </c>
      <c r="J12" s="49">
        <f>I12*L1</f>
        <v>3039.43</v>
      </c>
      <c r="K12" s="49">
        <v>3000</v>
      </c>
    </row>
    <row r="13" spans="1:12" ht="33.75" x14ac:dyDescent="0.2">
      <c r="A13" s="87">
        <v>11</v>
      </c>
      <c r="B13" s="70" t="s">
        <v>245</v>
      </c>
      <c r="C13" s="70" t="s">
        <v>246</v>
      </c>
      <c r="D13" s="12">
        <v>5</v>
      </c>
      <c r="E13" s="12">
        <v>5</v>
      </c>
      <c r="F13" s="12">
        <v>0</v>
      </c>
      <c r="G13" s="12">
        <v>5</v>
      </c>
      <c r="H13" s="12">
        <v>0</v>
      </c>
      <c r="I13" s="18">
        <f t="shared" si="0"/>
        <v>15</v>
      </c>
      <c r="J13" s="49">
        <f>I13*L1</f>
        <v>2399.5500000000002</v>
      </c>
      <c r="K13" s="49">
        <v>2000</v>
      </c>
    </row>
    <row r="14" spans="1:12" ht="22.5" x14ac:dyDescent="0.2">
      <c r="A14" s="87">
        <v>12</v>
      </c>
      <c r="B14" s="70" t="s">
        <v>247</v>
      </c>
      <c r="C14" s="70" t="s">
        <v>248</v>
      </c>
      <c r="D14" s="12">
        <v>3</v>
      </c>
      <c r="E14" s="12">
        <v>5</v>
      </c>
      <c r="F14" s="12">
        <v>0</v>
      </c>
      <c r="G14" s="12">
        <v>5</v>
      </c>
      <c r="H14" s="12">
        <v>10</v>
      </c>
      <c r="I14" s="18">
        <f t="shared" si="0"/>
        <v>23</v>
      </c>
      <c r="J14" s="49">
        <f>I14*L1</f>
        <v>3679.31</v>
      </c>
      <c r="K14" s="49">
        <v>2000</v>
      </c>
    </row>
    <row r="15" spans="1:12" ht="33.75" x14ac:dyDescent="0.2">
      <c r="A15" s="87">
        <v>13</v>
      </c>
      <c r="B15" s="70" t="s">
        <v>249</v>
      </c>
      <c r="C15" s="70" t="s">
        <v>250</v>
      </c>
      <c r="D15" s="12">
        <v>3</v>
      </c>
      <c r="E15" s="12">
        <v>10</v>
      </c>
      <c r="F15" s="12">
        <v>0</v>
      </c>
      <c r="G15" s="12">
        <v>0</v>
      </c>
      <c r="H15" s="12">
        <v>0</v>
      </c>
      <c r="I15" s="18">
        <f t="shared" si="0"/>
        <v>13</v>
      </c>
      <c r="J15" s="49">
        <f>I15*L1</f>
        <v>2079.61</v>
      </c>
      <c r="K15" s="49">
        <v>2000</v>
      </c>
    </row>
    <row r="16" spans="1:12" ht="33.75" x14ac:dyDescent="0.2">
      <c r="A16" s="87">
        <v>14</v>
      </c>
      <c r="B16" s="73" t="s">
        <v>251</v>
      </c>
      <c r="C16" s="73" t="s">
        <v>252</v>
      </c>
      <c r="D16" s="12">
        <v>5</v>
      </c>
      <c r="E16" s="12">
        <v>5</v>
      </c>
      <c r="F16" s="12">
        <v>0</v>
      </c>
      <c r="G16" s="12">
        <v>10</v>
      </c>
      <c r="H16" s="12">
        <v>0</v>
      </c>
      <c r="I16" s="18">
        <f t="shared" si="0"/>
        <v>20</v>
      </c>
      <c r="J16" s="49">
        <f>I16*L1</f>
        <v>3199.4</v>
      </c>
      <c r="K16" s="62">
        <v>3000</v>
      </c>
    </row>
    <row r="17" spans="1:11" ht="22.5" x14ac:dyDescent="0.2">
      <c r="A17" s="87">
        <v>15</v>
      </c>
      <c r="B17" s="70" t="s">
        <v>253</v>
      </c>
      <c r="C17" s="70" t="s">
        <v>254</v>
      </c>
      <c r="D17" s="12">
        <v>5</v>
      </c>
      <c r="E17" s="12">
        <v>5</v>
      </c>
      <c r="F17" s="12">
        <v>0</v>
      </c>
      <c r="G17" s="12">
        <v>10</v>
      </c>
      <c r="H17" s="12">
        <v>5</v>
      </c>
      <c r="I17" s="18">
        <f t="shared" si="0"/>
        <v>25</v>
      </c>
      <c r="J17" s="49">
        <f>I17*L1</f>
        <v>3999.25</v>
      </c>
      <c r="K17" s="62">
        <v>1400</v>
      </c>
    </row>
    <row r="18" spans="1:11" ht="22.5" x14ac:dyDescent="0.2">
      <c r="A18" s="87">
        <v>16</v>
      </c>
      <c r="B18" s="70" t="s">
        <v>52</v>
      </c>
      <c r="C18" s="70" t="s">
        <v>255</v>
      </c>
      <c r="D18" s="12">
        <v>5</v>
      </c>
      <c r="E18" s="12">
        <v>10</v>
      </c>
      <c r="F18" s="12">
        <v>0</v>
      </c>
      <c r="G18" s="12">
        <v>10</v>
      </c>
      <c r="H18" s="12">
        <v>0</v>
      </c>
      <c r="I18" s="18">
        <f t="shared" si="0"/>
        <v>25</v>
      </c>
      <c r="J18" s="49">
        <f>I18*L1</f>
        <v>3999.25</v>
      </c>
      <c r="K18" s="49">
        <v>3000</v>
      </c>
    </row>
    <row r="19" spans="1:11" ht="22.5" x14ac:dyDescent="0.2">
      <c r="A19" s="87">
        <v>17</v>
      </c>
      <c r="B19" s="70" t="s">
        <v>53</v>
      </c>
      <c r="C19" s="70" t="s">
        <v>256</v>
      </c>
      <c r="D19" s="12">
        <v>5</v>
      </c>
      <c r="E19" s="12">
        <v>5</v>
      </c>
      <c r="F19" s="12">
        <v>0</v>
      </c>
      <c r="G19" s="12">
        <v>0</v>
      </c>
      <c r="H19" s="12">
        <v>0</v>
      </c>
      <c r="I19" s="18">
        <f t="shared" si="0"/>
        <v>10</v>
      </c>
      <c r="J19" s="49">
        <f>I19*L1</f>
        <v>1599.7</v>
      </c>
      <c r="K19" s="49">
        <v>1600</v>
      </c>
    </row>
    <row r="20" spans="1:11" ht="22.5" x14ac:dyDescent="0.2">
      <c r="A20" s="87">
        <v>18</v>
      </c>
      <c r="B20" s="70" t="s">
        <v>257</v>
      </c>
      <c r="C20" s="70" t="s">
        <v>258</v>
      </c>
      <c r="D20" s="12">
        <v>5</v>
      </c>
      <c r="E20" s="12">
        <v>0</v>
      </c>
      <c r="F20" s="12">
        <v>0</v>
      </c>
      <c r="G20" s="12">
        <v>0</v>
      </c>
      <c r="H20" s="12">
        <v>10</v>
      </c>
      <c r="I20" s="18">
        <f t="shared" si="0"/>
        <v>15</v>
      </c>
      <c r="J20" s="49">
        <f>I20*L1</f>
        <v>2399.5500000000002</v>
      </c>
      <c r="K20" s="49">
        <v>2400</v>
      </c>
    </row>
    <row r="21" spans="1:11" ht="22.5" x14ac:dyDescent="0.2">
      <c r="A21" s="87">
        <v>19</v>
      </c>
      <c r="B21" s="70" t="s">
        <v>259</v>
      </c>
      <c r="C21" s="70" t="s">
        <v>260</v>
      </c>
      <c r="D21" s="12">
        <v>2</v>
      </c>
      <c r="E21" s="12">
        <v>5</v>
      </c>
      <c r="F21" s="12">
        <v>0</v>
      </c>
      <c r="G21" s="12">
        <v>8</v>
      </c>
      <c r="H21" s="12">
        <v>0</v>
      </c>
      <c r="I21" s="18">
        <f>D21+E21+F21+G21+H21</f>
        <v>15</v>
      </c>
      <c r="J21" s="49">
        <f>I21*L1</f>
        <v>2399.5500000000002</v>
      </c>
      <c r="K21" s="49">
        <v>1500</v>
      </c>
    </row>
    <row r="22" spans="1:11" ht="22.5" x14ac:dyDescent="0.2">
      <c r="A22" s="87">
        <v>20</v>
      </c>
      <c r="B22" s="70" t="s">
        <v>63</v>
      </c>
      <c r="C22" s="70" t="s">
        <v>261</v>
      </c>
      <c r="D22" s="12">
        <v>1</v>
      </c>
      <c r="E22" s="12">
        <v>5</v>
      </c>
      <c r="F22" s="12">
        <v>0</v>
      </c>
      <c r="G22" s="12">
        <v>8</v>
      </c>
      <c r="H22" s="12">
        <v>0</v>
      </c>
      <c r="I22" s="18">
        <f t="shared" si="0"/>
        <v>14</v>
      </c>
      <c r="J22" s="49">
        <f>I22*L1</f>
        <v>2239.58</v>
      </c>
      <c r="K22" s="49">
        <v>2000</v>
      </c>
    </row>
    <row r="23" spans="1:11" ht="22.5" x14ac:dyDescent="0.2">
      <c r="A23" s="87">
        <v>21</v>
      </c>
      <c r="B23" s="70" t="s">
        <v>49</v>
      </c>
      <c r="C23" s="70" t="s">
        <v>262</v>
      </c>
      <c r="D23" s="12">
        <v>3</v>
      </c>
      <c r="E23" s="12">
        <v>5</v>
      </c>
      <c r="F23" s="12">
        <v>0</v>
      </c>
      <c r="G23" s="12">
        <v>5</v>
      </c>
      <c r="H23" s="12">
        <v>0</v>
      </c>
      <c r="I23" s="18">
        <f t="shared" si="0"/>
        <v>13</v>
      </c>
      <c r="J23" s="49">
        <f>I23*L1</f>
        <v>2079.61</v>
      </c>
      <c r="K23" s="49">
        <v>2000</v>
      </c>
    </row>
    <row r="24" spans="1:11" ht="22.5" x14ac:dyDescent="0.2">
      <c r="A24" s="87">
        <v>22</v>
      </c>
      <c r="B24" s="70" t="s">
        <v>123</v>
      </c>
      <c r="C24" s="70" t="s">
        <v>263</v>
      </c>
      <c r="D24" s="12">
        <v>3</v>
      </c>
      <c r="E24" s="12">
        <v>5</v>
      </c>
      <c r="F24" s="12">
        <v>0</v>
      </c>
      <c r="G24" s="12">
        <v>6</v>
      </c>
      <c r="H24" s="12">
        <v>0</v>
      </c>
      <c r="I24" s="18">
        <f t="shared" si="0"/>
        <v>14</v>
      </c>
      <c r="J24" s="49">
        <f>I24*L1</f>
        <v>2239.58</v>
      </c>
      <c r="K24" s="49">
        <v>2000</v>
      </c>
    </row>
    <row r="25" spans="1:11" ht="22.5" x14ac:dyDescent="0.2">
      <c r="A25" s="87">
        <v>23</v>
      </c>
      <c r="B25" s="70" t="s">
        <v>264</v>
      </c>
      <c r="C25" s="70" t="s">
        <v>265</v>
      </c>
      <c r="D25" s="12">
        <v>4</v>
      </c>
      <c r="E25" s="12">
        <v>5</v>
      </c>
      <c r="F25" s="12">
        <v>0</v>
      </c>
      <c r="G25" s="12">
        <v>10</v>
      </c>
      <c r="H25" s="12">
        <v>0</v>
      </c>
      <c r="I25" s="18">
        <f t="shared" si="0"/>
        <v>19</v>
      </c>
      <c r="J25" s="49">
        <f>I25*L1</f>
        <v>3039.43</v>
      </c>
      <c r="K25" s="49">
        <v>2000</v>
      </c>
    </row>
    <row r="26" spans="1:11" ht="22.5" x14ac:dyDescent="0.2">
      <c r="A26" s="87">
        <v>24</v>
      </c>
      <c r="B26" s="70" t="s">
        <v>266</v>
      </c>
      <c r="C26" s="70" t="s">
        <v>267</v>
      </c>
      <c r="D26" s="12">
        <v>3</v>
      </c>
      <c r="E26" s="12">
        <v>0</v>
      </c>
      <c r="F26" s="12">
        <v>0</v>
      </c>
      <c r="G26" s="12">
        <v>10</v>
      </c>
      <c r="H26" s="12">
        <v>0</v>
      </c>
      <c r="I26" s="18">
        <f t="shared" si="0"/>
        <v>13</v>
      </c>
      <c r="J26" s="49">
        <f>I26*L1</f>
        <v>2079.61</v>
      </c>
      <c r="K26" s="49">
        <v>1600</v>
      </c>
    </row>
    <row r="27" spans="1:11" ht="22.5" x14ac:dyDescent="0.2">
      <c r="A27" s="87">
        <v>25</v>
      </c>
      <c r="B27" s="70" t="s">
        <v>100</v>
      </c>
      <c r="C27" s="79" t="s">
        <v>268</v>
      </c>
      <c r="D27" s="12">
        <v>5</v>
      </c>
      <c r="E27" s="12">
        <v>5</v>
      </c>
      <c r="F27" s="12">
        <v>0</v>
      </c>
      <c r="G27" s="12">
        <v>0</v>
      </c>
      <c r="H27" s="12">
        <v>10</v>
      </c>
      <c r="I27" s="18">
        <f t="shared" si="0"/>
        <v>20</v>
      </c>
      <c r="J27" s="49">
        <f>I27*L1</f>
        <v>3199.4</v>
      </c>
      <c r="K27" s="49">
        <v>2000</v>
      </c>
    </row>
    <row r="28" spans="1:11" ht="22.5" x14ac:dyDescent="0.2">
      <c r="A28" s="87">
        <v>26</v>
      </c>
      <c r="B28" s="70" t="s">
        <v>269</v>
      </c>
      <c r="C28" s="71" t="s">
        <v>270</v>
      </c>
      <c r="D28" s="12">
        <v>3</v>
      </c>
      <c r="E28" s="12">
        <v>5</v>
      </c>
      <c r="F28" s="12">
        <v>0</v>
      </c>
      <c r="G28" s="12">
        <v>6</v>
      </c>
      <c r="H28" s="12">
        <v>0</v>
      </c>
      <c r="I28" s="18">
        <f t="shared" si="0"/>
        <v>14</v>
      </c>
      <c r="J28" s="49">
        <f>I28*L1</f>
        <v>2239.58</v>
      </c>
      <c r="K28" s="49">
        <v>2000</v>
      </c>
    </row>
    <row r="29" spans="1:11" x14ac:dyDescent="0.2">
      <c r="A29" s="87">
        <v>27</v>
      </c>
      <c r="B29" s="70" t="s">
        <v>62</v>
      </c>
      <c r="C29" s="71" t="s">
        <v>64</v>
      </c>
      <c r="D29" s="12">
        <v>5</v>
      </c>
      <c r="E29" s="12">
        <v>5</v>
      </c>
      <c r="F29" s="12">
        <v>0</v>
      </c>
      <c r="G29" s="12">
        <v>0</v>
      </c>
      <c r="H29" s="12">
        <v>10</v>
      </c>
      <c r="I29" s="18">
        <f t="shared" si="0"/>
        <v>20</v>
      </c>
      <c r="J29" s="49">
        <f>I29*L1</f>
        <v>3199.4</v>
      </c>
      <c r="K29" s="49">
        <v>1500</v>
      </c>
    </row>
    <row r="30" spans="1:11" ht="22.5" x14ac:dyDescent="0.2">
      <c r="A30" s="87">
        <v>28</v>
      </c>
      <c r="B30" s="70" t="s">
        <v>271</v>
      </c>
      <c r="C30" s="71" t="s">
        <v>272</v>
      </c>
      <c r="D30" s="12">
        <v>5</v>
      </c>
      <c r="E30" s="12">
        <v>5</v>
      </c>
      <c r="F30" s="12">
        <v>0</v>
      </c>
      <c r="G30" s="12">
        <v>6</v>
      </c>
      <c r="H30" s="12">
        <v>5</v>
      </c>
      <c r="I30" s="18">
        <f t="shared" si="0"/>
        <v>21</v>
      </c>
      <c r="J30" s="49">
        <f>I30*L1</f>
        <v>3359.37</v>
      </c>
      <c r="K30" s="49">
        <v>1900</v>
      </c>
    </row>
    <row r="31" spans="1:11" ht="22.5" x14ac:dyDescent="0.2">
      <c r="A31" s="87">
        <v>29</v>
      </c>
      <c r="B31" s="70" t="s">
        <v>158</v>
      </c>
      <c r="C31" s="71" t="s">
        <v>273</v>
      </c>
      <c r="D31" s="12">
        <v>3</v>
      </c>
      <c r="E31" s="12">
        <v>0</v>
      </c>
      <c r="F31" s="12">
        <v>0</v>
      </c>
      <c r="G31" s="12">
        <v>0</v>
      </c>
      <c r="H31" s="12">
        <v>0</v>
      </c>
      <c r="I31" s="18">
        <f t="shared" si="0"/>
        <v>3</v>
      </c>
      <c r="J31" s="49">
        <f>I31*L1</f>
        <v>479.90999999999997</v>
      </c>
      <c r="K31" s="49">
        <v>1000</v>
      </c>
    </row>
    <row r="32" spans="1:11" ht="33.75" x14ac:dyDescent="0.2">
      <c r="A32" s="87">
        <v>30</v>
      </c>
      <c r="B32" s="70" t="s">
        <v>160</v>
      </c>
      <c r="C32" s="71" t="s">
        <v>274</v>
      </c>
      <c r="D32" s="12">
        <v>5</v>
      </c>
      <c r="E32" s="12">
        <v>0</v>
      </c>
      <c r="F32" s="12">
        <v>0</v>
      </c>
      <c r="G32" s="12">
        <v>0</v>
      </c>
      <c r="H32" s="12">
        <v>0</v>
      </c>
      <c r="I32" s="18">
        <f t="shared" si="0"/>
        <v>5</v>
      </c>
      <c r="J32" s="49">
        <f>I32*L1</f>
        <v>799.85</v>
      </c>
      <c r="K32" s="49">
        <v>1000</v>
      </c>
    </row>
    <row r="33" spans="1:15" ht="22.5" x14ac:dyDescent="0.2">
      <c r="A33" s="87">
        <v>31</v>
      </c>
      <c r="B33" s="70" t="s">
        <v>135</v>
      </c>
      <c r="C33" s="71" t="s">
        <v>275</v>
      </c>
      <c r="D33" s="12">
        <v>5</v>
      </c>
      <c r="E33" s="12">
        <v>10</v>
      </c>
      <c r="F33" s="12">
        <v>0</v>
      </c>
      <c r="G33" s="12">
        <v>0</v>
      </c>
      <c r="H33" s="12">
        <v>0</v>
      </c>
      <c r="I33" s="18">
        <f t="shared" si="0"/>
        <v>15</v>
      </c>
      <c r="J33" s="49">
        <f>I33*L1</f>
        <v>2399.5500000000002</v>
      </c>
      <c r="K33" s="49">
        <v>2400</v>
      </c>
    </row>
    <row r="34" spans="1:15" ht="22.5" x14ac:dyDescent="0.2">
      <c r="A34" s="87">
        <v>32</v>
      </c>
      <c r="B34" s="70" t="s">
        <v>102</v>
      </c>
      <c r="C34" s="71" t="s">
        <v>276</v>
      </c>
      <c r="D34" s="12">
        <v>5</v>
      </c>
      <c r="E34" s="12">
        <v>5</v>
      </c>
      <c r="F34" s="12">
        <v>0</v>
      </c>
      <c r="G34" s="12">
        <v>0</v>
      </c>
      <c r="H34" s="12">
        <v>0</v>
      </c>
      <c r="I34" s="18">
        <f t="shared" si="0"/>
        <v>10</v>
      </c>
      <c r="J34" s="49">
        <f>I34*L1</f>
        <v>1599.7</v>
      </c>
      <c r="K34" s="49">
        <v>3000</v>
      </c>
    </row>
    <row r="35" spans="1:15" ht="12" customHeight="1" x14ac:dyDescent="0.2">
      <c r="I35" s="11">
        <f>SUM(I3:I34)</f>
        <v>565</v>
      </c>
      <c r="J35" s="94">
        <f>SUM(J3:J34)</f>
        <v>90383.05</v>
      </c>
      <c r="K35" s="85">
        <f>SUM(K3:K34)</f>
        <v>71300</v>
      </c>
      <c r="N35" s="6">
        <f>49916+7450+71300</f>
        <v>128666</v>
      </c>
    </row>
    <row r="36" spans="1:15" ht="15.75" customHeight="1" x14ac:dyDescent="0.2">
      <c r="B36" s="99" t="s">
        <v>335</v>
      </c>
      <c r="C36" s="99"/>
      <c r="D36" s="99"/>
      <c r="E36" s="99"/>
      <c r="J36" s="59"/>
      <c r="K36" s="59"/>
    </row>
    <row r="37" spans="1:15" ht="14.25" customHeight="1" x14ac:dyDescent="0.2">
      <c r="B37" s="99"/>
      <c r="C37" s="99"/>
      <c r="D37" s="99"/>
      <c r="E37" s="99"/>
      <c r="G37" s="6" t="s">
        <v>74</v>
      </c>
      <c r="L37" s="45"/>
      <c r="N37" s="45"/>
    </row>
    <row r="38" spans="1:15" ht="22.5" customHeight="1" x14ac:dyDescent="0.2">
      <c r="B38" s="99"/>
      <c r="C38" s="99"/>
      <c r="D38" s="99"/>
      <c r="E38" s="99"/>
      <c r="G38" s="35" t="s">
        <v>284</v>
      </c>
      <c r="N38" s="45"/>
    </row>
    <row r="39" spans="1:15" x14ac:dyDescent="0.2">
      <c r="G39" s="35" t="s">
        <v>75</v>
      </c>
      <c r="O39" s="45"/>
    </row>
    <row r="40" spans="1:15" x14ac:dyDescent="0.2">
      <c r="G40" s="35" t="s">
        <v>285</v>
      </c>
    </row>
    <row r="41" spans="1:15" x14ac:dyDescent="0.2">
      <c r="G41" s="35" t="s">
        <v>286</v>
      </c>
    </row>
    <row r="42" spans="1:15" x14ac:dyDescent="0.2">
      <c r="B42" s="25" t="s">
        <v>325</v>
      </c>
      <c r="G42" s="35" t="s">
        <v>287</v>
      </c>
    </row>
    <row r="43" spans="1:15" x14ac:dyDescent="0.2">
      <c r="G43" s="35" t="s">
        <v>288</v>
      </c>
    </row>
    <row r="44" spans="1:15" x14ac:dyDescent="0.2">
      <c r="G44" s="35" t="s">
        <v>289</v>
      </c>
    </row>
  </sheetData>
  <mergeCells count="2">
    <mergeCell ref="A1:I1"/>
    <mergeCell ref="B36:E38"/>
  </mergeCells>
  <pageMargins left="0" right="0" top="0"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M9" sqref="M9"/>
    </sheetView>
  </sheetViews>
  <sheetFormatPr defaultRowHeight="15" x14ac:dyDescent="0.25"/>
  <cols>
    <col min="1" max="1" width="4.5703125" customWidth="1"/>
    <col min="2" max="2" width="29" customWidth="1"/>
    <col min="3" max="3" width="24.140625" customWidth="1"/>
    <col min="10" max="10" width="11.85546875" customWidth="1"/>
  </cols>
  <sheetData>
    <row r="1" spans="1:11" x14ac:dyDescent="0.25">
      <c r="A1" s="104" t="s">
        <v>282</v>
      </c>
      <c r="B1" s="104"/>
      <c r="C1" s="104"/>
      <c r="D1" s="104"/>
      <c r="E1" s="104"/>
      <c r="F1" s="104"/>
      <c r="G1" s="104"/>
      <c r="H1" s="104"/>
      <c r="I1" s="104"/>
      <c r="J1" s="45"/>
      <c r="K1" s="6"/>
    </row>
    <row r="2" spans="1:11" ht="66.75" x14ac:dyDescent="0.25">
      <c r="A2" s="7" t="s">
        <v>13</v>
      </c>
      <c r="B2" s="8" t="s">
        <v>1</v>
      </c>
      <c r="C2" s="8" t="s">
        <v>16</v>
      </c>
      <c r="D2" s="119" t="s">
        <v>18</v>
      </c>
      <c r="E2" s="120"/>
      <c r="F2" s="120"/>
      <c r="G2" s="120"/>
      <c r="H2" s="121"/>
      <c r="I2" s="10" t="s">
        <v>14</v>
      </c>
      <c r="J2" s="46" t="s">
        <v>58</v>
      </c>
      <c r="K2" s="6"/>
    </row>
    <row r="3" spans="1:11" ht="33.75" x14ac:dyDescent="0.25">
      <c r="A3" s="15">
        <v>1</v>
      </c>
      <c r="B3" s="70" t="s">
        <v>278</v>
      </c>
      <c r="C3" s="70" t="s">
        <v>279</v>
      </c>
      <c r="D3" s="122">
        <v>10</v>
      </c>
      <c r="E3" s="123"/>
      <c r="F3" s="123"/>
      <c r="G3" s="123"/>
      <c r="H3" s="124"/>
      <c r="I3" s="18">
        <f>D3+E3+F3+G3+H3</f>
        <v>10</v>
      </c>
      <c r="J3" s="49">
        <v>25000</v>
      </c>
      <c r="K3" s="6"/>
    </row>
    <row r="4" spans="1:11" ht="45" x14ac:dyDescent="0.25">
      <c r="A4" s="15">
        <v>2</v>
      </c>
      <c r="B4" s="71" t="s">
        <v>280</v>
      </c>
      <c r="C4" s="71" t="s">
        <v>281</v>
      </c>
      <c r="D4" s="122">
        <v>8</v>
      </c>
      <c r="E4" s="123"/>
      <c r="F4" s="123"/>
      <c r="G4" s="123"/>
      <c r="H4" s="124"/>
      <c r="I4" s="18">
        <f t="shared" ref="I4:I5" si="0">D4+E4+F4+G4+H4</f>
        <v>8</v>
      </c>
      <c r="J4" s="49">
        <v>8000</v>
      </c>
    </row>
    <row r="5" spans="1:11" ht="22.5" x14ac:dyDescent="0.25">
      <c r="A5" s="15">
        <v>3</v>
      </c>
      <c r="B5" s="70" t="s">
        <v>300</v>
      </c>
      <c r="C5" s="70" t="s">
        <v>301</v>
      </c>
      <c r="D5" s="122">
        <v>10</v>
      </c>
      <c r="E5" s="123"/>
      <c r="F5" s="123"/>
      <c r="G5" s="123"/>
      <c r="H5" s="124"/>
      <c r="I5" s="18">
        <f t="shared" si="0"/>
        <v>10</v>
      </c>
      <c r="J5" s="49">
        <v>12000</v>
      </c>
    </row>
    <row r="6" spans="1:11" x14ac:dyDescent="0.25">
      <c r="J6" s="90">
        <f>SUM(J3:J5)</f>
        <v>45000</v>
      </c>
    </row>
    <row r="7" spans="1:11" x14ac:dyDescent="0.25">
      <c r="J7" s="3"/>
    </row>
    <row r="8" spans="1:11" ht="22.5" customHeight="1" x14ac:dyDescent="0.25">
      <c r="B8" s="99" t="s">
        <v>82</v>
      </c>
      <c r="C8" s="99"/>
      <c r="D8" s="99"/>
      <c r="E8" s="99"/>
    </row>
    <row r="9" spans="1:11" ht="22.5" customHeight="1" x14ac:dyDescent="0.25">
      <c r="B9" s="99"/>
      <c r="C9" s="99"/>
      <c r="D9" s="99"/>
      <c r="E9" s="99"/>
      <c r="G9" s="6" t="s">
        <v>74</v>
      </c>
      <c r="H9" s="6"/>
      <c r="I9" s="11"/>
      <c r="J9" s="45"/>
      <c r="K9" s="6"/>
    </row>
    <row r="10" spans="1:11" ht="22.5" customHeight="1" x14ac:dyDescent="0.25">
      <c r="B10" s="99"/>
      <c r="C10" s="99"/>
      <c r="D10" s="99"/>
      <c r="E10" s="99"/>
      <c r="G10" s="35" t="s">
        <v>284</v>
      </c>
      <c r="H10" s="6"/>
      <c r="I10" s="11"/>
      <c r="J10" s="45"/>
      <c r="K10" s="6"/>
    </row>
    <row r="11" spans="1:11" x14ac:dyDescent="0.25">
      <c r="G11" s="35" t="s">
        <v>75</v>
      </c>
      <c r="H11" s="6"/>
      <c r="I11" s="11"/>
      <c r="J11" s="45"/>
      <c r="K11" s="6"/>
    </row>
    <row r="12" spans="1:11" x14ac:dyDescent="0.25">
      <c r="G12" s="35" t="s">
        <v>285</v>
      </c>
      <c r="H12" s="6"/>
      <c r="I12" s="11"/>
      <c r="J12" s="45"/>
      <c r="K12" s="6"/>
    </row>
    <row r="13" spans="1:11" x14ac:dyDescent="0.25">
      <c r="G13" s="35" t="s">
        <v>286</v>
      </c>
      <c r="H13" s="6"/>
      <c r="I13" s="11"/>
      <c r="J13" s="45"/>
      <c r="K13" s="6"/>
    </row>
    <row r="14" spans="1:11" x14ac:dyDescent="0.25">
      <c r="B14" s="25" t="s">
        <v>325</v>
      </c>
      <c r="G14" s="35" t="s">
        <v>287</v>
      </c>
      <c r="H14" s="6"/>
      <c r="I14" s="11"/>
      <c r="J14" s="45"/>
      <c r="K14" s="6"/>
    </row>
    <row r="15" spans="1:11" x14ac:dyDescent="0.25">
      <c r="G15" s="35" t="s">
        <v>288</v>
      </c>
      <c r="H15" s="6"/>
      <c r="I15" s="11"/>
      <c r="J15" s="45"/>
      <c r="K15" s="6"/>
    </row>
    <row r="16" spans="1:11" x14ac:dyDescent="0.25">
      <c r="G16" s="35" t="s">
        <v>289</v>
      </c>
      <c r="H16" s="6"/>
      <c r="I16" s="11"/>
      <c r="J16" s="45"/>
      <c r="K16" s="6"/>
    </row>
    <row r="17" spans="7:11" x14ac:dyDescent="0.25">
      <c r="G17" s="6"/>
      <c r="H17" s="6"/>
      <c r="I17" s="11"/>
      <c r="J17" s="45"/>
      <c r="K17" s="6"/>
    </row>
    <row r="18" spans="7:11" x14ac:dyDescent="0.25">
      <c r="G18" s="6"/>
      <c r="H18" s="6"/>
      <c r="I18" s="11"/>
      <c r="J18" s="45"/>
      <c r="K18" s="6"/>
    </row>
  </sheetData>
  <mergeCells count="6">
    <mergeCell ref="A1:I1"/>
    <mergeCell ref="B8:E10"/>
    <mergeCell ref="D2:H2"/>
    <mergeCell ref="D3:H3"/>
    <mergeCell ref="D4:H4"/>
    <mergeCell ref="D5:H5"/>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D18" sqref="D18"/>
    </sheetView>
  </sheetViews>
  <sheetFormatPr defaultRowHeight="15" x14ac:dyDescent="0.25"/>
  <cols>
    <col min="1" max="1" width="51.140625" customWidth="1"/>
    <col min="2" max="2" width="10.85546875" style="3" customWidth="1"/>
    <col min="4" max="4" width="54.42578125" customWidth="1"/>
    <col min="5" max="5" width="11" style="3" customWidth="1"/>
    <col min="6" max="6" width="10.140625" bestFit="1" customWidth="1"/>
    <col min="8" max="8" width="10.140625" bestFit="1" customWidth="1"/>
  </cols>
  <sheetData>
    <row r="1" spans="1:7" x14ac:dyDescent="0.25">
      <c r="A1" s="127" t="s">
        <v>84</v>
      </c>
      <c r="B1" s="127"/>
      <c r="C1" s="127"/>
      <c r="D1" s="127"/>
      <c r="E1" s="127"/>
    </row>
    <row r="2" spans="1:7" x14ac:dyDescent="0.25">
      <c r="A2" s="36" t="s">
        <v>38</v>
      </c>
      <c r="B2" s="37">
        <v>555000</v>
      </c>
    </row>
    <row r="3" spans="1:7" ht="24.75" customHeight="1" x14ac:dyDescent="0.25">
      <c r="A3" s="36" t="s">
        <v>37</v>
      </c>
      <c r="B3" s="38">
        <v>25000</v>
      </c>
      <c r="D3" s="126" t="s">
        <v>85</v>
      </c>
      <c r="E3" s="126"/>
    </row>
    <row r="4" spans="1:7" ht="50.25" customHeight="1" x14ac:dyDescent="0.25">
      <c r="A4" s="39" t="s">
        <v>36</v>
      </c>
      <c r="B4" s="38">
        <v>25000</v>
      </c>
      <c r="D4" s="56" t="s">
        <v>306</v>
      </c>
      <c r="E4" s="66" t="s">
        <v>302</v>
      </c>
    </row>
    <row r="5" spans="1:7" x14ac:dyDescent="0.25">
      <c r="A5" s="1"/>
      <c r="B5" s="38"/>
      <c r="D5" s="56" t="s">
        <v>307</v>
      </c>
      <c r="E5" s="66" t="s">
        <v>315</v>
      </c>
    </row>
    <row r="6" spans="1:7" x14ac:dyDescent="0.25">
      <c r="A6" s="40" t="s">
        <v>39</v>
      </c>
      <c r="B6" s="37">
        <f>B2-B3-B4</f>
        <v>505000</v>
      </c>
      <c r="D6" s="56" t="s">
        <v>86</v>
      </c>
      <c r="E6" s="66">
        <f>E4+E5</f>
        <v>864</v>
      </c>
    </row>
    <row r="7" spans="1:7" ht="13.5" customHeight="1" x14ac:dyDescent="0.25">
      <c r="A7" s="1"/>
      <c r="B7" s="38"/>
      <c r="D7" s="36" t="s">
        <v>297</v>
      </c>
      <c r="E7" s="91">
        <f>B10/E6</f>
        <v>112.5144675925926</v>
      </c>
      <c r="G7" s="89"/>
    </row>
    <row r="8" spans="1:7" ht="29.25" customHeight="1" x14ac:dyDescent="0.25">
      <c r="A8" s="40" t="s">
        <v>42</v>
      </c>
      <c r="B8" s="37">
        <f>B6*55%</f>
        <v>277750</v>
      </c>
      <c r="D8" s="56" t="s">
        <v>299</v>
      </c>
      <c r="E8" s="37"/>
      <c r="F8" s="3"/>
    </row>
    <row r="9" spans="1:7" ht="30" x14ac:dyDescent="0.25">
      <c r="A9" s="1" t="s">
        <v>311</v>
      </c>
      <c r="B9" s="38">
        <f>B8*55%</f>
        <v>152762.5</v>
      </c>
      <c r="D9" s="56" t="s">
        <v>308</v>
      </c>
      <c r="E9" s="66" t="s">
        <v>293</v>
      </c>
    </row>
    <row r="10" spans="1:7" ht="30.75" customHeight="1" x14ac:dyDescent="0.25">
      <c r="A10" s="1" t="s">
        <v>310</v>
      </c>
      <c r="B10" s="38">
        <f>B8*35%</f>
        <v>97212.5</v>
      </c>
      <c r="D10" s="36" t="s">
        <v>305</v>
      </c>
      <c r="E10" s="91">
        <f>B13/E9</f>
        <v>169.04260299625469</v>
      </c>
      <c r="F10" s="89"/>
      <c r="G10" s="89"/>
    </row>
    <row r="11" spans="1:7" x14ac:dyDescent="0.25">
      <c r="A11" s="1" t="s">
        <v>40</v>
      </c>
      <c r="B11" s="38">
        <f>SUM(B9:B10)</f>
        <v>249975</v>
      </c>
      <c r="D11" s="56" t="s">
        <v>309</v>
      </c>
      <c r="E11" s="66" t="s">
        <v>298</v>
      </c>
    </row>
    <row r="12" spans="1:7" ht="18" customHeight="1" x14ac:dyDescent="0.25">
      <c r="A12" s="1" t="s">
        <v>312</v>
      </c>
      <c r="B12" s="38">
        <f>B8-B11</f>
        <v>27775</v>
      </c>
      <c r="D12" s="36" t="s">
        <v>291</v>
      </c>
      <c r="E12" s="92">
        <f>B14/E11</f>
        <v>394.53125</v>
      </c>
    </row>
    <row r="13" spans="1:7" ht="30.75" customHeight="1" x14ac:dyDescent="0.25">
      <c r="A13" s="56" t="s">
        <v>313</v>
      </c>
      <c r="B13" s="38">
        <f>B12+B9</f>
        <v>180537.5</v>
      </c>
      <c r="D13" s="56" t="s">
        <v>327</v>
      </c>
      <c r="E13" s="97">
        <f>323+59+565</f>
        <v>947</v>
      </c>
    </row>
    <row r="14" spans="1:7" ht="25.5" customHeight="1" x14ac:dyDescent="0.25">
      <c r="A14" s="40" t="s">
        <v>41</v>
      </c>
      <c r="B14" s="37">
        <f>B6*15%</f>
        <v>75750</v>
      </c>
      <c r="D14" s="36" t="s">
        <v>87</v>
      </c>
      <c r="E14" s="91">
        <f>B15/E13</f>
        <v>159.97888067581837</v>
      </c>
      <c r="F14" s="3"/>
      <c r="G14" s="3"/>
    </row>
    <row r="15" spans="1:7" x14ac:dyDescent="0.25">
      <c r="A15" s="40" t="s">
        <v>43</v>
      </c>
      <c r="B15" s="37">
        <f>B6*30%</f>
        <v>151500</v>
      </c>
      <c r="D15" s="3"/>
    </row>
    <row r="17" spans="1:11" ht="30" x14ac:dyDescent="0.25">
      <c r="A17" s="65" t="s">
        <v>329</v>
      </c>
      <c r="B17" s="4">
        <f>188371+97213+34430+49916+7450+71300+45000</f>
        <v>493680</v>
      </c>
      <c r="D17" s="3"/>
      <c r="H17" s="3"/>
    </row>
    <row r="18" spans="1:11" ht="30" x14ac:dyDescent="0.25">
      <c r="A18" s="95" t="s">
        <v>304</v>
      </c>
      <c r="B18" s="44">
        <f>22834-7834</f>
        <v>15000</v>
      </c>
      <c r="D18" s="98" t="s">
        <v>330</v>
      </c>
      <c r="G18" s="3"/>
    </row>
    <row r="19" spans="1:11" ht="30" x14ac:dyDescent="0.25">
      <c r="A19" s="65" t="s">
        <v>83</v>
      </c>
      <c r="B19" s="4">
        <f>B14-34430</f>
        <v>41320</v>
      </c>
      <c r="H19" s="3"/>
    </row>
    <row r="20" spans="1:11" ht="12" customHeight="1" x14ac:dyDescent="0.25">
      <c r="A20" s="2" t="s">
        <v>303</v>
      </c>
      <c r="B20" s="4">
        <v>5000</v>
      </c>
      <c r="D20" s="35" t="s">
        <v>74</v>
      </c>
    </row>
    <row r="21" spans="1:11" x14ac:dyDescent="0.25">
      <c r="A21" s="2" t="s">
        <v>328</v>
      </c>
      <c r="B21" s="4">
        <f>SUM(B18:B20)</f>
        <v>61320</v>
      </c>
      <c r="D21" s="35" t="s">
        <v>337</v>
      </c>
      <c r="E21" s="45"/>
    </row>
    <row r="22" spans="1:11" x14ac:dyDescent="0.25">
      <c r="D22" s="35" t="s">
        <v>338</v>
      </c>
      <c r="E22" s="45"/>
    </row>
    <row r="23" spans="1:11" x14ac:dyDescent="0.25">
      <c r="D23" s="35" t="s">
        <v>339</v>
      </c>
      <c r="E23" s="45"/>
      <c r="F23" s="44"/>
    </row>
    <row r="24" spans="1:11" x14ac:dyDescent="0.25">
      <c r="D24" s="35" t="s">
        <v>340</v>
      </c>
      <c r="E24" s="45"/>
      <c r="K24" s="3"/>
    </row>
    <row r="25" spans="1:11" x14ac:dyDescent="0.25">
      <c r="D25" s="35" t="s">
        <v>341</v>
      </c>
      <c r="E25" s="45"/>
    </row>
    <row r="26" spans="1:11" x14ac:dyDescent="0.25">
      <c r="B26" s="44"/>
      <c r="D26" s="35" t="s">
        <v>342</v>
      </c>
      <c r="E26" s="45"/>
    </row>
    <row r="27" spans="1:11" x14ac:dyDescent="0.25">
      <c r="B27" s="44"/>
      <c r="D27" s="35" t="s">
        <v>343</v>
      </c>
      <c r="E27" s="45"/>
    </row>
    <row r="28" spans="1:11" x14ac:dyDescent="0.25">
      <c r="B28" s="44"/>
      <c r="D28" s="35"/>
      <c r="E28" s="45"/>
    </row>
    <row r="29" spans="1:11" x14ac:dyDescent="0.25">
      <c r="B29" s="44"/>
      <c r="D29" s="35"/>
      <c r="E29" s="45"/>
    </row>
    <row r="30" spans="1:11" x14ac:dyDescent="0.25">
      <c r="D30" s="45"/>
      <c r="E30" s="45"/>
    </row>
    <row r="31" spans="1:11" x14ac:dyDescent="0.25">
      <c r="K31" s="3"/>
    </row>
    <row r="34" spans="11:11" x14ac:dyDescent="0.25">
      <c r="K34" s="3"/>
    </row>
  </sheetData>
  <mergeCells count="2">
    <mergeCell ref="D3:E3"/>
    <mergeCell ref="A1:E1"/>
  </mergeCells>
  <pageMargins left="0" right="0" top="0" bottom="0"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tabSelected="1" workbookViewId="0">
      <selection activeCell="C32" sqref="C32"/>
    </sheetView>
  </sheetViews>
  <sheetFormatPr defaultRowHeight="11.25" x14ac:dyDescent="0.2"/>
  <cols>
    <col min="1" max="1" width="4.140625" style="29" customWidth="1"/>
    <col min="2" max="2" width="27.28515625" style="19" customWidth="1"/>
    <col min="3" max="3" width="46.85546875" style="19" customWidth="1"/>
    <col min="4" max="4" width="61.42578125" style="19" customWidth="1"/>
    <col min="5" max="16384" width="9.140625" style="19"/>
  </cols>
  <sheetData>
    <row r="1" spans="1:4" ht="30" customHeight="1" x14ac:dyDescent="0.2">
      <c r="A1" s="128" t="s">
        <v>323</v>
      </c>
      <c r="B1" s="128"/>
      <c r="C1" s="128"/>
      <c r="D1" s="128"/>
    </row>
    <row r="2" spans="1:4" ht="22.5" customHeight="1" x14ac:dyDescent="0.2">
      <c r="A2" s="128" t="s">
        <v>80</v>
      </c>
      <c r="B2" s="128"/>
      <c r="C2" s="128"/>
      <c r="D2" s="128"/>
    </row>
    <row r="3" spans="1:4" ht="15" customHeight="1" x14ac:dyDescent="0.2">
      <c r="A3" s="112" t="s">
        <v>15</v>
      </c>
      <c r="B3" s="112"/>
      <c r="C3" s="112"/>
      <c r="D3" s="112"/>
    </row>
    <row r="4" spans="1:4" s="25" customFormat="1" ht="21" x14ac:dyDescent="0.15">
      <c r="A4" s="20" t="s">
        <v>13</v>
      </c>
      <c r="B4" s="21" t="s">
        <v>1</v>
      </c>
      <c r="C4" s="21" t="s">
        <v>16</v>
      </c>
      <c r="D4" s="21" t="s">
        <v>76</v>
      </c>
    </row>
    <row r="5" spans="1:4" ht="22.5" x14ac:dyDescent="0.2">
      <c r="A5" s="20">
        <v>1</v>
      </c>
      <c r="B5" s="54" t="s">
        <v>102</v>
      </c>
      <c r="C5" s="72" t="s">
        <v>103</v>
      </c>
      <c r="D5" s="26" t="s">
        <v>316</v>
      </c>
    </row>
    <row r="6" spans="1:4" ht="16.5" customHeight="1" x14ac:dyDescent="0.2">
      <c r="A6" s="129" t="s">
        <v>32</v>
      </c>
      <c r="B6" s="129"/>
      <c r="C6" s="129"/>
      <c r="D6" s="129"/>
    </row>
    <row r="7" spans="1:4" ht="9.75" customHeight="1" x14ac:dyDescent="0.2">
      <c r="A7" s="112" t="s">
        <v>15</v>
      </c>
      <c r="B7" s="112"/>
      <c r="C7" s="112"/>
      <c r="D7" s="112"/>
    </row>
    <row r="8" spans="1:4" s="25" customFormat="1" ht="21" x14ac:dyDescent="0.15">
      <c r="A8" s="20" t="s">
        <v>13</v>
      </c>
      <c r="B8" s="21" t="s">
        <v>1</v>
      </c>
      <c r="C8" s="21" t="s">
        <v>16</v>
      </c>
      <c r="D8" s="21" t="s">
        <v>76</v>
      </c>
    </row>
    <row r="9" spans="1:4" ht="45" x14ac:dyDescent="0.2">
      <c r="A9" s="20">
        <v>1</v>
      </c>
      <c r="B9" s="70" t="s">
        <v>56</v>
      </c>
      <c r="C9" s="70" t="s">
        <v>111</v>
      </c>
      <c r="D9" s="5" t="s">
        <v>324</v>
      </c>
    </row>
    <row r="10" spans="1:4" ht="22.5" x14ac:dyDescent="0.2">
      <c r="A10" s="20">
        <v>2</v>
      </c>
      <c r="B10" s="70" t="s">
        <v>55</v>
      </c>
      <c r="C10" s="71" t="s">
        <v>157</v>
      </c>
      <c r="D10" s="26" t="s">
        <v>77</v>
      </c>
    </row>
    <row r="12" spans="1:4" x14ac:dyDescent="0.2">
      <c r="A12" s="110" t="s">
        <v>33</v>
      </c>
      <c r="B12" s="110"/>
      <c r="C12" s="110"/>
      <c r="D12" s="110"/>
    </row>
    <row r="13" spans="1:4" x14ac:dyDescent="0.2">
      <c r="A13" s="125" t="s">
        <v>15</v>
      </c>
      <c r="B13" s="125"/>
      <c r="C13" s="125"/>
      <c r="D13" s="125"/>
    </row>
    <row r="14" spans="1:4" ht="21.75" x14ac:dyDescent="0.2">
      <c r="A14" s="20" t="s">
        <v>13</v>
      </c>
      <c r="B14" s="21" t="s">
        <v>1</v>
      </c>
      <c r="C14" s="21" t="s">
        <v>16</v>
      </c>
      <c r="D14" s="21" t="s">
        <v>76</v>
      </c>
    </row>
    <row r="15" spans="1:4" ht="33.75" x14ac:dyDescent="0.2">
      <c r="A15" s="20">
        <v>1</v>
      </c>
      <c r="B15" s="70" t="s">
        <v>60</v>
      </c>
      <c r="C15" s="70" t="s">
        <v>61</v>
      </c>
      <c r="D15" s="5" t="s">
        <v>332</v>
      </c>
    </row>
    <row r="16" spans="1:4" ht="6" customHeight="1" x14ac:dyDescent="0.2">
      <c r="A16" s="19"/>
    </row>
    <row r="17" spans="1:4" ht="6" customHeight="1" x14ac:dyDescent="0.2">
      <c r="A17" s="19"/>
    </row>
    <row r="18" spans="1:4" x14ac:dyDescent="0.2">
      <c r="A18" s="129" t="s">
        <v>79</v>
      </c>
      <c r="B18" s="129"/>
      <c r="C18" s="129"/>
      <c r="D18" s="129"/>
    </row>
    <row r="19" spans="1:4" x14ac:dyDescent="0.2">
      <c r="A19" s="112" t="s">
        <v>17</v>
      </c>
      <c r="B19" s="112"/>
      <c r="C19" s="112"/>
      <c r="D19" s="112"/>
    </row>
    <row r="20" spans="1:4" ht="21.75" x14ac:dyDescent="0.2">
      <c r="A20" s="20" t="s">
        <v>13</v>
      </c>
      <c r="B20" s="21" t="s">
        <v>1</v>
      </c>
      <c r="C20" s="21" t="s">
        <v>16</v>
      </c>
      <c r="D20" s="21" t="s">
        <v>76</v>
      </c>
    </row>
    <row r="21" spans="1:4" ht="22.5" x14ac:dyDescent="0.2">
      <c r="A21" s="20">
        <v>1</v>
      </c>
      <c r="B21" s="71" t="s">
        <v>175</v>
      </c>
      <c r="C21" s="71" t="s">
        <v>176</v>
      </c>
      <c r="D21" s="5" t="s">
        <v>322</v>
      </c>
    </row>
    <row r="22" spans="1:4" x14ac:dyDescent="0.2">
      <c r="A22" s="19"/>
    </row>
    <row r="23" spans="1:4" x14ac:dyDescent="0.2">
      <c r="A23" s="112" t="s">
        <v>30</v>
      </c>
      <c r="B23" s="112"/>
      <c r="C23" s="112"/>
      <c r="D23" s="112"/>
    </row>
    <row r="24" spans="1:4" ht="21.75" x14ac:dyDescent="0.2">
      <c r="A24" s="20" t="s">
        <v>13</v>
      </c>
      <c r="B24" s="21" t="s">
        <v>1</v>
      </c>
      <c r="C24" s="21" t="s">
        <v>16</v>
      </c>
      <c r="D24" s="21" t="s">
        <v>76</v>
      </c>
    </row>
    <row r="25" spans="1:4" x14ac:dyDescent="0.2">
      <c r="A25" s="20">
        <v>1</v>
      </c>
      <c r="B25" s="73" t="s">
        <v>295</v>
      </c>
      <c r="C25" s="73" t="s">
        <v>296</v>
      </c>
      <c r="D25" s="5" t="s">
        <v>78</v>
      </c>
    </row>
    <row r="26" spans="1:4" ht="56.25" x14ac:dyDescent="0.2">
      <c r="A26" s="20">
        <v>2</v>
      </c>
      <c r="B26" s="70" t="s">
        <v>137</v>
      </c>
      <c r="C26" s="71" t="s">
        <v>277</v>
      </c>
      <c r="D26" s="5" t="s">
        <v>331</v>
      </c>
    </row>
    <row r="27" spans="1:4" x14ac:dyDescent="0.2">
      <c r="A27" s="19"/>
    </row>
    <row r="28" spans="1:4" x14ac:dyDescent="0.2">
      <c r="A28" s="19"/>
      <c r="D28" s="35"/>
    </row>
    <row r="29" spans="1:4" ht="15.75" customHeight="1" x14ac:dyDescent="0.2">
      <c r="B29" s="25"/>
      <c r="D29" s="35"/>
    </row>
    <row r="30" spans="1:4" ht="15" customHeight="1" x14ac:dyDescent="0.2">
      <c r="D30" s="35"/>
    </row>
    <row r="31" spans="1:4" ht="13.5" customHeight="1" x14ac:dyDescent="0.2">
      <c r="D31" s="35"/>
    </row>
    <row r="32" spans="1:4" ht="16.5" customHeight="1" x14ac:dyDescent="0.2">
      <c r="D32" s="35"/>
    </row>
    <row r="33" spans="4:4" ht="15.75" customHeight="1" x14ac:dyDescent="0.2">
      <c r="D33" s="35"/>
    </row>
    <row r="34" spans="4:4" ht="14.25" customHeight="1" x14ac:dyDescent="0.2">
      <c r="D34" s="35"/>
    </row>
    <row r="35" spans="4:4" ht="14.25" customHeight="1" x14ac:dyDescent="0.2">
      <c r="D35" s="35"/>
    </row>
    <row r="36" spans="4:4" ht="15" customHeight="1" x14ac:dyDescent="0.2">
      <c r="D36" s="35"/>
    </row>
    <row r="37" spans="4:4" ht="14.25" customHeight="1" x14ac:dyDescent="0.2">
      <c r="D37" s="35"/>
    </row>
  </sheetData>
  <mergeCells count="10">
    <mergeCell ref="A18:D18"/>
    <mergeCell ref="A19:D19"/>
    <mergeCell ref="A23:D23"/>
    <mergeCell ref="A12:D12"/>
    <mergeCell ref="A13:D13"/>
    <mergeCell ref="A3:D3"/>
    <mergeCell ref="A1:D1"/>
    <mergeCell ref="A6:D6"/>
    <mergeCell ref="A7:D7"/>
    <mergeCell ref="A2:D2"/>
  </mergeCells>
  <pageMargins left="0" right="0" top="0" bottom="0" header="0" footer="0"/>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Vrhunski</vt:lpstr>
      <vt:lpstr>Kvalitetni</vt:lpstr>
      <vt:lpstr>Sport osoba sa invaliditetom</vt:lpstr>
      <vt:lpstr>Sport za sve</vt:lpstr>
      <vt:lpstr>Sportske manifestacije</vt:lpstr>
      <vt:lpstr>Sportski objekti</vt:lpstr>
      <vt:lpstr>Procenti</vt:lpstr>
      <vt:lpstr>Lista odbijenih</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User804</dc:creator>
  <cp:lastModifiedBy>User804</cp:lastModifiedBy>
  <cp:lastPrinted>2021-08-30T06:51:43Z</cp:lastPrinted>
  <dcterms:created xsi:type="dcterms:W3CDTF">2020-09-28T13:07:59Z</dcterms:created>
  <dcterms:modified xsi:type="dcterms:W3CDTF">2021-09-07T12:11:47Z</dcterms:modified>
</cp:coreProperties>
</file>